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76" i="1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A80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T75"/>
  <c r="T74"/>
  <c r="T12"/>
  <c r="T13"/>
  <c r="T16"/>
  <c r="T18"/>
  <c r="T19"/>
  <c r="T20"/>
  <c r="T21"/>
  <c r="T22"/>
  <c r="T23"/>
  <c r="T24"/>
  <c r="T25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11"/>
  <c r="M60"/>
  <c r="N65" l="1"/>
  <c r="M65" l="1"/>
  <c r="N25" l="1"/>
  <c r="N68"/>
  <c r="M68"/>
  <c r="M55"/>
  <c r="M46"/>
  <c r="N14"/>
  <c r="M14"/>
  <c r="M59"/>
  <c r="M28"/>
  <c r="N28"/>
  <c r="N46"/>
  <c r="M33"/>
  <c r="L73" l="1"/>
  <c r="Q101"/>
  <c r="P101"/>
  <c r="O101"/>
  <c r="J101"/>
  <c r="K101"/>
  <c r="I101"/>
  <c r="L72"/>
  <c r="N18"/>
  <c r="M11"/>
  <c r="M23"/>
  <c r="L71" l="1"/>
  <c r="L12"/>
  <c r="L13"/>
  <c r="L21"/>
  <c r="L22"/>
  <c r="L23"/>
  <c r="L24"/>
  <c r="L28"/>
  <c r="L29"/>
  <c r="L33"/>
  <c r="L35"/>
  <c r="L36"/>
  <c r="L42"/>
  <c r="L43"/>
  <c r="L45"/>
  <c r="L46"/>
  <c r="L47"/>
  <c r="L48"/>
  <c r="L49"/>
  <c r="L53"/>
  <c r="L55"/>
  <c r="L56"/>
  <c r="L57"/>
  <c r="L58"/>
  <c r="L59"/>
  <c r="L63"/>
  <c r="L64"/>
  <c r="L66"/>
  <c r="L67"/>
  <c r="L68"/>
  <c r="L69"/>
  <c r="L70"/>
  <c r="L65"/>
  <c r="N62"/>
  <c r="M62"/>
  <c r="L62" s="1"/>
  <c r="N61"/>
  <c r="M61"/>
  <c r="L61" s="1"/>
  <c r="N60"/>
  <c r="L60"/>
  <c r="N59"/>
  <c r="N54"/>
  <c r="M54"/>
  <c r="L54" s="1"/>
  <c r="N52"/>
  <c r="M52"/>
  <c r="L52" s="1"/>
  <c r="M51"/>
  <c r="L51" s="1"/>
  <c r="N50"/>
  <c r="M50"/>
  <c r="L50" s="1"/>
  <c r="N44"/>
  <c r="M44"/>
  <c r="L44" s="1"/>
  <c r="M41"/>
  <c r="L41" s="1"/>
  <c r="M40"/>
  <c r="L40" s="1"/>
  <c r="N39"/>
  <c r="M39"/>
  <c r="L39" s="1"/>
  <c r="N38"/>
  <c r="M38"/>
  <c r="L38" s="1"/>
  <c r="N37"/>
  <c r="M37"/>
  <c r="L37" s="1"/>
  <c r="N34"/>
  <c r="M34"/>
  <c r="L34" s="1"/>
  <c r="N33"/>
  <c r="N32"/>
  <c r="M32"/>
  <c r="L32" s="1"/>
  <c r="M31"/>
  <c r="L31" s="1"/>
  <c r="N30"/>
  <c r="M30"/>
  <c r="L30" s="1"/>
  <c r="S27"/>
  <c r="T27" s="1"/>
  <c r="N27"/>
  <c r="M27"/>
  <c r="L27" s="1"/>
  <c r="R26"/>
  <c r="M25"/>
  <c r="L25" s="1"/>
  <c r="N20"/>
  <c r="M20"/>
  <c r="L20" s="1"/>
  <c r="N19"/>
  <c r="M19"/>
  <c r="L19" s="1"/>
  <c r="M18"/>
  <c r="L18" s="1"/>
  <c r="R17"/>
  <c r="N16"/>
  <c r="M16"/>
  <c r="L16" s="1"/>
  <c r="S15"/>
  <c r="R15"/>
  <c r="S14"/>
  <c r="R14"/>
  <c r="R101" s="1"/>
  <c r="N11"/>
  <c r="N101" s="1"/>
  <c r="L14" l="1"/>
  <c r="T14"/>
  <c r="T15"/>
  <c r="L15"/>
  <c r="S17"/>
  <c r="L17" s="1"/>
  <c r="S26"/>
  <c r="L26" s="1"/>
  <c r="M101"/>
  <c r="L11"/>
  <c r="L101" s="1"/>
  <c r="S101" l="1"/>
  <c r="T17"/>
  <c r="T26"/>
  <c r="T101" l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№05 от 01.11.14
</t>
        </r>
      </text>
    </comment>
    <comment ref="M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-0,5
изменение в кв12
на -0,6
изменение в кв46
на -0.2</t>
        </r>
      </text>
    </comment>
    <comment ref="N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-0,2
изменение в кв12
на +3,1
изменение в кв46
на -0,2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№06 от 01.11.14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№51 от 01.12.14г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№25 от 01.12.14г
</t>
        </r>
      </text>
    </comment>
    <comment ref="M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+0,3
изменение в кв3
на -0,4
изменение в кв2
на -1,5
</t>
        </r>
      </text>
    </comment>
    <comment ref="N14" authorId="0">
      <text>
        <r>
          <rPr>
            <sz val="8"/>
            <color indexed="81"/>
            <rFont val="Tahoma"/>
            <family val="2"/>
            <charset val="204"/>
          </rPr>
          <t xml:space="preserve">
изменение в кв3
на -0,4
изменение в кв2
на -0,4
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№56 от 03.12.14г</t>
        </r>
      </text>
    </comment>
    <comment ref="M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по т/п от 2001г
</t>
        </r>
      </text>
    </comment>
    <comment ref="N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по т/п 2001г.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№23 от 01.12.14г
</t>
        </r>
      </text>
    </comment>
    <comment ref="M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кв10 на 0.2кв.м. меньше
</t>
        </r>
      </text>
    </comment>
    <comment ref="N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кв10 
на -0,2 
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№24 от 01.12.14г
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№36 от 01.12.14г
</t>
        </r>
      </text>
    </comment>
    <comment ref="M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кв10
на -0,5</t>
        </r>
      </text>
    </comment>
    <comment ref="N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кв10
на -0,4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№35 от 01.12.14г
</t>
        </r>
      </text>
    </comment>
    <comment ref="M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кв13
на +0,1
измененине в кв16
на +0,2</t>
        </r>
      </text>
    </comment>
    <comment ref="N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кв13
на +0,2
изменение в кв16
на +0,3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№22 от 01.12.14г
</t>
        </r>
      </text>
    </comment>
    <comment ref="M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 
на -1,1 кв.м
изменение в кв8 
на -1,9 кв.м</t>
        </r>
      </text>
    </comment>
    <comment ref="N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 на -1 кв.м
</t>
        </r>
      </text>
    </comment>
    <comment ref="D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№04 от 01.11.14
</t>
        </r>
      </text>
    </comment>
    <comment ref="D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№03 от 31.10.14
</t>
        </r>
      </text>
    </comment>
    <comment ref="D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№59 от 08.12.14г
</t>
        </r>
      </text>
    </comment>
    <comment ref="M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-0,3
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№60 от 17.12.14г
</t>
        </r>
      </text>
    </comment>
    <comment ref="M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тех\п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№58/1 от 05.12.14г
</t>
        </r>
      </text>
    </comment>
    <comment ref="M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кв14
на -0,4
</t>
        </r>
      </text>
    </comment>
    <comment ref="N25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изменение в кв14
на -0,2
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№42 от 01.12.14г
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№57 от 03.12.14г
</t>
        </r>
      </text>
    </comment>
    <comment ref="M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кв5
на -0,5</t>
        </r>
      </text>
    </comment>
    <comment ref="N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кв5
на -0,5
изменение в кв11 
на +1,2
</t>
        </r>
      </text>
    </commen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№39 от 01.12.14г
</t>
        </r>
      </text>
    </comment>
    <comment ref="M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+5,8
изменение в кв3
на +3,6
изменение в кв6
на +1
изменение в кв12
на -1
</t>
        </r>
      </text>
    </comment>
    <comment ref="N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+1,9
изменение в кв3
на +2,5
изменение в кв6
на +4,2
изменение в кв12
на +1,1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№46 от 01.12.14г
</t>
        </r>
      </text>
    </commen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№50 от 01.12.14г
</t>
        </r>
      </text>
    </comment>
    <comment ref="M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кв7
на +6,9
изменение в кв7А
на -8,4
изменение в кв11
на -0,3
</t>
        </r>
      </text>
    </comment>
    <comment ref="N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кв7 
на -0,4
изменение в кв7А
на -19,7
изменение в кв11
на -0,3
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№49 от 01.12.14г
</t>
        </r>
      </text>
    </comment>
    <comment ref="M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кв7
на -0,6
</t>
        </r>
      </text>
    </commen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№47 от 01.12.14г
</t>
        </r>
      </text>
    </comment>
    <comment ref="M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
на+4,2
изменение в кв17
на +0,2
</t>
        </r>
      </text>
    </comment>
    <comment ref="N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
на +2,8
изменение в кв17
на +0,9
</t>
        </r>
      </text>
    </commen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№43 от 01.12.14г
</t>
        </r>
      </text>
    </comment>
    <comment ref="M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-1,3
изменение в кв2
на +0,3
</t>
        </r>
      </text>
    </comment>
    <comment ref="N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-0,6
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№40 от 01.12.14г
</t>
        </r>
      </text>
    </comment>
    <comment ref="M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кв5
на -0,7</t>
        </r>
      </text>
    </comment>
    <comment ref="N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кв5
на -0,2
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№54 от 02.12.14г
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№41 от 01.12.14г
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№38 от 01.12.14г
</t>
        </r>
      </text>
    </comment>
    <comment ref="M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 
на -1,4 кв.м</t>
        </r>
      </text>
    </comment>
    <comment ref="N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 
на -0,1 кв.м
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№37 от 01.12.14г
</t>
        </r>
      </text>
    </comment>
    <comment ref="M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 на +0,2 кв.м
</t>
        </r>
      </text>
    </comment>
    <comment ref="N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 2 
на +0,3 кв.м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№44 от 01.12.14г
</t>
        </r>
      </text>
    </comment>
    <comment ref="M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кв16
на -0,5
</t>
        </r>
      </text>
    </comment>
    <comment ref="N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кв16
на -0,2
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№55 от 03.12.14г
</t>
        </r>
      </text>
    </comment>
    <comment ref="M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кв3
на +0,1
</t>
        </r>
      </text>
    </comment>
    <comment ref="D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№14 от 30.11.14г
</t>
        </r>
      </text>
    </comment>
    <comment ref="M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-1,0
</t>
        </r>
      </text>
    </comment>
    <comment ref="D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№32 от 01.12.14г
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№26 от 01.12.14г
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№29 от 01.12.14г
</t>
        </r>
      </text>
    </comment>
    <comment ref="M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-0,3</t>
        </r>
      </text>
    </comment>
    <comment ref="N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-0,2
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№13 от 28.11.14г
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№33 от 01.12.14г
</t>
        </r>
      </text>
    </comment>
    <comment ref="M4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329,5 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-7,9
изменение в кв5
на -6,2
</t>
        </r>
      </text>
    </comment>
    <comment ref="N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 
на -3,8
изменение в кв5
на -2,9
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№53 от 02.12.14г
</t>
        </r>
      </text>
    </comment>
    <comment ref="D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№34 от 01.12.14г
</t>
        </r>
      </text>
    </comment>
    <comment ref="D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№31 от 01.12.14г
</t>
        </r>
      </text>
    </comment>
    <comment ref="D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№15 от 30.11.14г
</t>
        </r>
      </text>
    </comment>
    <comment ref="M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на кв8
на -0,8
изменение на кв5
на -0,3</t>
        </r>
      </text>
    </comment>
    <comment ref="N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+0,1
изменение в кв5
на -0,2
</t>
        </r>
      </text>
    </comment>
    <comment ref="D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№30 от 01.12.14г
</t>
        </r>
      </text>
    </comment>
    <comment ref="M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кв6
на -0,9</t>
        </r>
      </text>
    </comment>
    <comment ref="D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№27 от 01.12.14г
</t>
        </r>
      </text>
    </comment>
    <comment ref="M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-0,8
изменение в кв6
на +0,1
</t>
        </r>
      </text>
    </comment>
    <comment ref="N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+0,2
изменение в кв6
на +0,4</t>
        </r>
      </text>
    </comment>
    <comment ref="D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№28 от 01.12.14г
</t>
        </r>
      </text>
    </comment>
    <comment ref="D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№12 от 28.11.14г
</t>
        </r>
      </text>
    </comment>
    <comment ref="M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-1,4
</t>
        </r>
      </text>
    </comment>
    <comment ref="N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-0,3
</t>
        </r>
      </text>
    </comment>
    <comment ref="D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№16 от 01.12.14г
</t>
        </r>
      </text>
    </comment>
    <comment ref="M55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изменение в кв9
на +0,1
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№10 от 20.11.14г.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№11 от 20.11.14г
</t>
        </r>
      </text>
    </comment>
    <comment ref="D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№18 от 01.12.14г
</t>
        </r>
      </text>
    </comment>
    <comment ref="M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т/п в электронке
</t>
        </r>
      </text>
    </comment>
    <comment ref="N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т/п в электронке
</t>
        </r>
      </text>
    </comment>
    <comment ref="D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№20 от 01.12.14г
</t>
        </r>
      </text>
    </comment>
    <comment ref="M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кв44
на -2
изменение в кв41
на -7,2
изменение в кв62
на +2,9
изменение в кв77
на -1
изменение в кв40
на -1,9
</t>
        </r>
      </text>
    </comment>
    <comment ref="N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кв44
на -0,3
изменение в кв41
на -5
изменение в кв62
на +3,6
изменение в кв40
на -3,2
</t>
        </r>
      </text>
    </comment>
    <comment ref="M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-1,4
изменение в кв11
на -2,4
изменение в кв10
на -0,8
изменение в кв8
на -0,1
</t>
        </r>
      </text>
    </comment>
    <comment ref="N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-0,4
изменение в кв11
на -1,6
изменение в кв10
на -0,4
</t>
        </r>
      </text>
    </comment>
    <comment ref="D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№52 от 02.12.14г
</t>
        </r>
      </text>
    </comment>
    <comment ref="D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№08 от 01.11.14
</t>
        </r>
      </text>
    </comment>
    <comment ref="M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-1,4
изменение в кв13
на -0,4
изменение в кв23
на +0,5</t>
        </r>
      </text>
    </comment>
    <comment ref="N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кв13 
на -0,2
изменение в кв23 
на +0,3</t>
        </r>
      </text>
    </comment>
    <comment ref="D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№07 от 01.11.14
</t>
        </r>
      </text>
    </comment>
    <comment ref="D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№45 от 01.12.14г
</t>
        </r>
      </text>
    </comment>
    <comment ref="M65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изменение в кв20
(по т/п кв9) на -0,4
</t>
        </r>
      </text>
    </comment>
    <comment ref="N65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изменение в кв20          (по т/п кв9) на +12
</t>
        </r>
      </text>
    </comment>
    <comment ref="D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№62 от 24.12.14г
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№04 от 01.02.15
</t>
        </r>
      </text>
    </comment>
    <comment ref="D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№03 от 01.02.15
</t>
        </r>
      </text>
    </comment>
    <comment ref="M68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изменение в кв18
на -0,4
изменение в кв20
на +2,0
</t>
        </r>
      </text>
    </comment>
    <comment ref="N68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изменение в кв20
на +1,5
</t>
        </r>
      </text>
    </comment>
    <comment ref="D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№08/2 от 02.03.15
</t>
        </r>
      </text>
    </comment>
    <comment ref="D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№08/3 от 02.03.2015
</t>
        </r>
      </text>
    </comment>
    <comment ref="D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№15 от 21.04.2015г. 
На обслуживании с 01.05.15
</t>
        </r>
      </text>
    </comment>
    <comment ref="D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№18 от 07.05.
на обслуживании с          16 мая 2015г.
</t>
        </r>
      </text>
    </comment>
  </commentList>
</comments>
</file>

<file path=xl/sharedStrings.xml><?xml version="1.0" encoding="utf-8"?>
<sst xmlns="http://schemas.openxmlformats.org/spreadsheetml/2006/main" count="326" uniqueCount="86">
  <si>
    <t xml:space="preserve">по жилищному фонду УК ООО "Статус 2" </t>
  </si>
  <si>
    <t>№ п/п</t>
  </si>
  <si>
    <t>Год ввода</t>
  </si>
  <si>
    <t>Почтовый адрес</t>
  </si>
  <si>
    <t>Номер дома</t>
  </si>
  <si>
    <t>Способ управления</t>
  </si>
  <si>
    <t>Тип здания</t>
  </si>
  <si>
    <t>Категория</t>
  </si>
  <si>
    <t>Кол-во этажей</t>
  </si>
  <si>
    <t>Кол-во дом.</t>
  </si>
  <si>
    <t>Кол-во подъездов</t>
  </si>
  <si>
    <t>Кол-во квартир</t>
  </si>
  <si>
    <t>Площадь здания без балконов, лоджий, террас</t>
  </si>
  <si>
    <t>Площадь квартир</t>
  </si>
  <si>
    <t>СКБ в квар., м2</t>
  </si>
  <si>
    <t>СКБ пер.м2</t>
  </si>
  <si>
    <t>Общая</t>
  </si>
  <si>
    <t>в т.ч. жилая</t>
  </si>
  <si>
    <t xml:space="preserve">Миpа </t>
  </si>
  <si>
    <t>Управляющая компания</t>
  </si>
  <si>
    <t>КПД</t>
  </si>
  <si>
    <t xml:space="preserve">Дзеpжинского </t>
  </si>
  <si>
    <t>Магистральная</t>
  </si>
  <si>
    <t>33/2</t>
  </si>
  <si>
    <t>НСУ</t>
  </si>
  <si>
    <t>Щит</t>
  </si>
  <si>
    <t xml:space="preserve">Дружбы </t>
  </si>
  <si>
    <t>8а</t>
  </si>
  <si>
    <t>Брус</t>
  </si>
  <si>
    <t>15А</t>
  </si>
  <si>
    <t>12а</t>
  </si>
  <si>
    <t>12б</t>
  </si>
  <si>
    <t>12в</t>
  </si>
  <si>
    <t>14 А</t>
  </si>
  <si>
    <t>49а</t>
  </si>
  <si>
    <t xml:space="preserve">Мира </t>
  </si>
  <si>
    <t>15Б</t>
  </si>
  <si>
    <t xml:space="preserve">Советская </t>
  </si>
  <si>
    <t>24в</t>
  </si>
  <si>
    <t>28а</t>
  </si>
  <si>
    <t>28в</t>
  </si>
  <si>
    <t>30а</t>
  </si>
  <si>
    <t xml:space="preserve">Новоселов </t>
  </si>
  <si>
    <t>Республики</t>
  </si>
  <si>
    <t>60а</t>
  </si>
  <si>
    <t>Школьная</t>
  </si>
  <si>
    <t xml:space="preserve">Космонавтов </t>
  </si>
  <si>
    <t xml:space="preserve">Энтузиастов </t>
  </si>
  <si>
    <t>22в</t>
  </si>
  <si>
    <t>6в</t>
  </si>
  <si>
    <t>5в</t>
  </si>
  <si>
    <t>10а</t>
  </si>
  <si>
    <t xml:space="preserve">Западный </t>
  </si>
  <si>
    <t>16 А</t>
  </si>
  <si>
    <t xml:space="preserve"> </t>
  </si>
  <si>
    <t xml:space="preserve">Ямальская </t>
  </si>
  <si>
    <t>5а</t>
  </si>
  <si>
    <t>101в</t>
  </si>
  <si>
    <t>Интернационалистов</t>
  </si>
  <si>
    <t>45а</t>
  </si>
  <si>
    <t>60 лет СССР</t>
  </si>
  <si>
    <t>43а</t>
  </si>
  <si>
    <t>Холмогорская</t>
  </si>
  <si>
    <t>1/62</t>
  </si>
  <si>
    <t>24б</t>
  </si>
  <si>
    <t>8б</t>
  </si>
  <si>
    <t>14А</t>
  </si>
  <si>
    <t>ИТОГО  :</t>
  </si>
  <si>
    <t xml:space="preserve">          Исп.: А.Г. Беспалько  т.39-42-11</t>
  </si>
  <si>
    <t>Ленина</t>
  </si>
  <si>
    <t>3А</t>
  </si>
  <si>
    <t>Площадь лестничных клеток, м2</t>
  </si>
  <si>
    <t>Площадь мест общего пользования, м2</t>
  </si>
  <si>
    <t>Общая площадь мест общего пользования (лестн.клетки+ МОП)</t>
  </si>
  <si>
    <t>6А</t>
  </si>
  <si>
    <t>6Б</t>
  </si>
  <si>
    <t>12А</t>
  </si>
  <si>
    <t>8А</t>
  </si>
  <si>
    <t>22А</t>
  </si>
  <si>
    <t>9А</t>
  </si>
  <si>
    <t>21А</t>
  </si>
  <si>
    <t>35А</t>
  </si>
  <si>
    <t>96В</t>
  </si>
  <si>
    <t>98А</t>
  </si>
  <si>
    <t>Шевченко</t>
  </si>
  <si>
    <r>
      <t xml:space="preserve">СВЕДЕНИЯ </t>
    </r>
    <r>
      <rPr>
        <b/>
        <sz val="10"/>
        <color theme="1"/>
        <rFont val="Times New Roman"/>
        <family val="1"/>
        <charset val="204"/>
      </rPr>
      <t xml:space="preserve">на </t>
    </r>
    <r>
      <rPr>
        <b/>
        <sz val="10"/>
        <rFont val="Times New Roman"/>
        <family val="1"/>
        <charset val="204"/>
      </rPr>
      <t>01.03.2016г.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</si>
</sst>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color theme="1"/>
      <name val="Times New Roman"/>
      <family val="1"/>
      <charset val="204"/>
    </font>
    <font>
      <i/>
      <sz val="9"/>
      <color theme="1"/>
      <name val="Monotype Corsiva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0" borderId="2" xfId="0" applyFont="1" applyFill="1" applyBorder="1" applyAlignment="1" applyProtection="1">
      <alignment horizontal="center" textRotation="90" wrapText="1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/>
    <xf numFmtId="2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/>
    <xf numFmtId="0" fontId="2" fillId="3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/>
    <xf numFmtId="0" fontId="1" fillId="0" borderId="2" xfId="0" applyFont="1" applyFill="1" applyBorder="1" applyAlignment="1"/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protection locked="0"/>
    </xf>
    <xf numFmtId="4" fontId="1" fillId="0" borderId="2" xfId="0" applyNumberFormat="1" applyFont="1" applyFill="1" applyBorder="1" applyAlignment="1" applyProtection="1">
      <protection locked="0"/>
    </xf>
    <xf numFmtId="4" fontId="3" fillId="2" borderId="2" xfId="0" applyNumberFormat="1" applyFont="1" applyFill="1" applyBorder="1" applyAlignment="1" applyProtection="1"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1" fillId="3" borderId="2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>
      <protection locked="0"/>
    </xf>
    <xf numFmtId="4" fontId="0" fillId="0" borderId="0" xfId="0" applyNumberFormat="1"/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12" fontId="2" fillId="3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textRotation="90" wrapText="1"/>
      <protection locked="0"/>
    </xf>
    <xf numFmtId="0" fontId="1" fillId="0" borderId="2" xfId="0" applyFont="1" applyFill="1" applyBorder="1" applyAlignment="1">
      <alignment textRotation="90" wrapText="1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center" textRotation="90" wrapText="1"/>
      <protection locked="0"/>
    </xf>
    <xf numFmtId="0" fontId="1" fillId="3" borderId="2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textRotation="90" wrapText="1"/>
    </xf>
    <xf numFmtId="0" fontId="0" fillId="0" borderId="0" xfId="0" applyAlignment="1"/>
    <xf numFmtId="0" fontId="1" fillId="0" borderId="3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workbookViewId="0">
      <selection activeCell="A2" sqref="A2:T2"/>
    </sheetView>
  </sheetViews>
  <sheetFormatPr defaultRowHeight="15"/>
  <cols>
    <col min="1" max="1" width="4.5703125" customWidth="1"/>
    <col min="2" max="2" width="6.28515625" hidden="1" customWidth="1"/>
    <col min="3" max="3" width="19.5703125" customWidth="1"/>
    <col min="4" max="4" width="5.42578125" style="65" customWidth="1"/>
    <col min="5" max="5" width="21.42578125" customWidth="1"/>
    <col min="6" max="6" width="5.42578125" style="42" hidden="1" customWidth="1"/>
    <col min="7" max="11" width="5.42578125" hidden="1" customWidth="1"/>
    <col min="12" max="12" width="10" hidden="1" customWidth="1"/>
    <col min="13" max="14" width="8.85546875" hidden="1" customWidth="1"/>
    <col min="15" max="17" width="7.28515625" hidden="1" customWidth="1"/>
    <col min="18" max="18" width="11.28515625" customWidth="1"/>
    <col min="19" max="20" width="14.5703125" customWidth="1"/>
    <col min="21" max="21" width="12" customWidth="1"/>
    <col min="22" max="22" width="7.28515625" customWidth="1"/>
    <col min="258" max="258" width="4.5703125" customWidth="1"/>
    <col min="259" max="259" width="6.28515625" customWidth="1"/>
    <col min="260" max="260" width="19.5703125" customWidth="1"/>
    <col min="261" max="261" width="5.42578125" customWidth="1"/>
    <col min="262" max="262" width="21.42578125" customWidth="1"/>
    <col min="263" max="268" width="5.42578125" customWidth="1"/>
    <col min="269" max="269" width="10" customWidth="1"/>
    <col min="270" max="271" width="8.85546875" customWidth="1"/>
    <col min="272" max="274" width="7.28515625" customWidth="1"/>
    <col min="275" max="276" width="7.85546875" customWidth="1"/>
    <col min="277" max="277" width="7.42578125" customWidth="1"/>
    <col min="278" max="278" width="7.28515625" customWidth="1"/>
    <col min="514" max="514" width="4.5703125" customWidth="1"/>
    <col min="515" max="515" width="6.28515625" customWidth="1"/>
    <col min="516" max="516" width="19.5703125" customWidth="1"/>
    <col min="517" max="517" width="5.42578125" customWidth="1"/>
    <col min="518" max="518" width="21.42578125" customWidth="1"/>
    <col min="519" max="524" width="5.42578125" customWidth="1"/>
    <col min="525" max="525" width="10" customWidth="1"/>
    <col min="526" max="527" width="8.85546875" customWidth="1"/>
    <col min="528" max="530" width="7.28515625" customWidth="1"/>
    <col min="531" max="532" width="7.85546875" customWidth="1"/>
    <col min="533" max="533" width="7.42578125" customWidth="1"/>
    <col min="534" max="534" width="7.28515625" customWidth="1"/>
    <col min="770" max="770" width="4.5703125" customWidth="1"/>
    <col min="771" max="771" width="6.28515625" customWidth="1"/>
    <col min="772" max="772" width="19.5703125" customWidth="1"/>
    <col min="773" max="773" width="5.42578125" customWidth="1"/>
    <col min="774" max="774" width="21.42578125" customWidth="1"/>
    <col min="775" max="780" width="5.42578125" customWidth="1"/>
    <col min="781" max="781" width="10" customWidth="1"/>
    <col min="782" max="783" width="8.85546875" customWidth="1"/>
    <col min="784" max="786" width="7.28515625" customWidth="1"/>
    <col min="787" max="788" width="7.85546875" customWidth="1"/>
    <col min="789" max="789" width="7.42578125" customWidth="1"/>
    <col min="790" max="790" width="7.28515625" customWidth="1"/>
    <col min="1026" max="1026" width="4.5703125" customWidth="1"/>
    <col min="1027" max="1027" width="6.28515625" customWidth="1"/>
    <col min="1028" max="1028" width="19.5703125" customWidth="1"/>
    <col min="1029" max="1029" width="5.42578125" customWidth="1"/>
    <col min="1030" max="1030" width="21.42578125" customWidth="1"/>
    <col min="1031" max="1036" width="5.42578125" customWidth="1"/>
    <col min="1037" max="1037" width="10" customWidth="1"/>
    <col min="1038" max="1039" width="8.85546875" customWidth="1"/>
    <col min="1040" max="1042" width="7.28515625" customWidth="1"/>
    <col min="1043" max="1044" width="7.85546875" customWidth="1"/>
    <col min="1045" max="1045" width="7.42578125" customWidth="1"/>
    <col min="1046" max="1046" width="7.28515625" customWidth="1"/>
    <col min="1282" max="1282" width="4.5703125" customWidth="1"/>
    <col min="1283" max="1283" width="6.28515625" customWidth="1"/>
    <col min="1284" max="1284" width="19.5703125" customWidth="1"/>
    <col min="1285" max="1285" width="5.42578125" customWidth="1"/>
    <col min="1286" max="1286" width="21.42578125" customWidth="1"/>
    <col min="1287" max="1292" width="5.42578125" customWidth="1"/>
    <col min="1293" max="1293" width="10" customWidth="1"/>
    <col min="1294" max="1295" width="8.85546875" customWidth="1"/>
    <col min="1296" max="1298" width="7.28515625" customWidth="1"/>
    <col min="1299" max="1300" width="7.85546875" customWidth="1"/>
    <col min="1301" max="1301" width="7.42578125" customWidth="1"/>
    <col min="1302" max="1302" width="7.28515625" customWidth="1"/>
    <col min="1538" max="1538" width="4.5703125" customWidth="1"/>
    <col min="1539" max="1539" width="6.28515625" customWidth="1"/>
    <col min="1540" max="1540" width="19.5703125" customWidth="1"/>
    <col min="1541" max="1541" width="5.42578125" customWidth="1"/>
    <col min="1542" max="1542" width="21.42578125" customWidth="1"/>
    <col min="1543" max="1548" width="5.42578125" customWidth="1"/>
    <col min="1549" max="1549" width="10" customWidth="1"/>
    <col min="1550" max="1551" width="8.85546875" customWidth="1"/>
    <col min="1552" max="1554" width="7.28515625" customWidth="1"/>
    <col min="1555" max="1556" width="7.85546875" customWidth="1"/>
    <col min="1557" max="1557" width="7.42578125" customWidth="1"/>
    <col min="1558" max="1558" width="7.28515625" customWidth="1"/>
    <col min="1794" max="1794" width="4.5703125" customWidth="1"/>
    <col min="1795" max="1795" width="6.28515625" customWidth="1"/>
    <col min="1796" max="1796" width="19.5703125" customWidth="1"/>
    <col min="1797" max="1797" width="5.42578125" customWidth="1"/>
    <col min="1798" max="1798" width="21.42578125" customWidth="1"/>
    <col min="1799" max="1804" width="5.42578125" customWidth="1"/>
    <col min="1805" max="1805" width="10" customWidth="1"/>
    <col min="1806" max="1807" width="8.85546875" customWidth="1"/>
    <col min="1808" max="1810" width="7.28515625" customWidth="1"/>
    <col min="1811" max="1812" width="7.85546875" customWidth="1"/>
    <col min="1813" max="1813" width="7.42578125" customWidth="1"/>
    <col min="1814" max="1814" width="7.28515625" customWidth="1"/>
    <col min="2050" max="2050" width="4.5703125" customWidth="1"/>
    <col min="2051" max="2051" width="6.28515625" customWidth="1"/>
    <col min="2052" max="2052" width="19.5703125" customWidth="1"/>
    <col min="2053" max="2053" width="5.42578125" customWidth="1"/>
    <col min="2054" max="2054" width="21.42578125" customWidth="1"/>
    <col min="2055" max="2060" width="5.42578125" customWidth="1"/>
    <col min="2061" max="2061" width="10" customWidth="1"/>
    <col min="2062" max="2063" width="8.85546875" customWidth="1"/>
    <col min="2064" max="2066" width="7.28515625" customWidth="1"/>
    <col min="2067" max="2068" width="7.85546875" customWidth="1"/>
    <col min="2069" max="2069" width="7.42578125" customWidth="1"/>
    <col min="2070" max="2070" width="7.28515625" customWidth="1"/>
    <col min="2306" max="2306" width="4.5703125" customWidth="1"/>
    <col min="2307" max="2307" width="6.28515625" customWidth="1"/>
    <col min="2308" max="2308" width="19.5703125" customWidth="1"/>
    <col min="2309" max="2309" width="5.42578125" customWidth="1"/>
    <col min="2310" max="2310" width="21.42578125" customWidth="1"/>
    <col min="2311" max="2316" width="5.42578125" customWidth="1"/>
    <col min="2317" max="2317" width="10" customWidth="1"/>
    <col min="2318" max="2319" width="8.85546875" customWidth="1"/>
    <col min="2320" max="2322" width="7.28515625" customWidth="1"/>
    <col min="2323" max="2324" width="7.85546875" customWidth="1"/>
    <col min="2325" max="2325" width="7.42578125" customWidth="1"/>
    <col min="2326" max="2326" width="7.28515625" customWidth="1"/>
    <col min="2562" max="2562" width="4.5703125" customWidth="1"/>
    <col min="2563" max="2563" width="6.28515625" customWidth="1"/>
    <col min="2564" max="2564" width="19.5703125" customWidth="1"/>
    <col min="2565" max="2565" width="5.42578125" customWidth="1"/>
    <col min="2566" max="2566" width="21.42578125" customWidth="1"/>
    <col min="2567" max="2572" width="5.42578125" customWidth="1"/>
    <col min="2573" max="2573" width="10" customWidth="1"/>
    <col min="2574" max="2575" width="8.85546875" customWidth="1"/>
    <col min="2576" max="2578" width="7.28515625" customWidth="1"/>
    <col min="2579" max="2580" width="7.85546875" customWidth="1"/>
    <col min="2581" max="2581" width="7.42578125" customWidth="1"/>
    <col min="2582" max="2582" width="7.28515625" customWidth="1"/>
    <col min="2818" max="2818" width="4.5703125" customWidth="1"/>
    <col min="2819" max="2819" width="6.28515625" customWidth="1"/>
    <col min="2820" max="2820" width="19.5703125" customWidth="1"/>
    <col min="2821" max="2821" width="5.42578125" customWidth="1"/>
    <col min="2822" max="2822" width="21.42578125" customWidth="1"/>
    <col min="2823" max="2828" width="5.42578125" customWidth="1"/>
    <col min="2829" max="2829" width="10" customWidth="1"/>
    <col min="2830" max="2831" width="8.85546875" customWidth="1"/>
    <col min="2832" max="2834" width="7.28515625" customWidth="1"/>
    <col min="2835" max="2836" width="7.85546875" customWidth="1"/>
    <col min="2837" max="2837" width="7.42578125" customWidth="1"/>
    <col min="2838" max="2838" width="7.28515625" customWidth="1"/>
    <col min="3074" max="3074" width="4.5703125" customWidth="1"/>
    <col min="3075" max="3075" width="6.28515625" customWidth="1"/>
    <col min="3076" max="3076" width="19.5703125" customWidth="1"/>
    <col min="3077" max="3077" width="5.42578125" customWidth="1"/>
    <col min="3078" max="3078" width="21.42578125" customWidth="1"/>
    <col min="3079" max="3084" width="5.42578125" customWidth="1"/>
    <col min="3085" max="3085" width="10" customWidth="1"/>
    <col min="3086" max="3087" width="8.85546875" customWidth="1"/>
    <col min="3088" max="3090" width="7.28515625" customWidth="1"/>
    <col min="3091" max="3092" width="7.85546875" customWidth="1"/>
    <col min="3093" max="3093" width="7.42578125" customWidth="1"/>
    <col min="3094" max="3094" width="7.28515625" customWidth="1"/>
    <col min="3330" max="3330" width="4.5703125" customWidth="1"/>
    <col min="3331" max="3331" width="6.28515625" customWidth="1"/>
    <col min="3332" max="3332" width="19.5703125" customWidth="1"/>
    <col min="3333" max="3333" width="5.42578125" customWidth="1"/>
    <col min="3334" max="3334" width="21.42578125" customWidth="1"/>
    <col min="3335" max="3340" width="5.42578125" customWidth="1"/>
    <col min="3341" max="3341" width="10" customWidth="1"/>
    <col min="3342" max="3343" width="8.85546875" customWidth="1"/>
    <col min="3344" max="3346" width="7.28515625" customWidth="1"/>
    <col min="3347" max="3348" width="7.85546875" customWidth="1"/>
    <col min="3349" max="3349" width="7.42578125" customWidth="1"/>
    <col min="3350" max="3350" width="7.28515625" customWidth="1"/>
    <col min="3586" max="3586" width="4.5703125" customWidth="1"/>
    <col min="3587" max="3587" width="6.28515625" customWidth="1"/>
    <col min="3588" max="3588" width="19.5703125" customWidth="1"/>
    <col min="3589" max="3589" width="5.42578125" customWidth="1"/>
    <col min="3590" max="3590" width="21.42578125" customWidth="1"/>
    <col min="3591" max="3596" width="5.42578125" customWidth="1"/>
    <col min="3597" max="3597" width="10" customWidth="1"/>
    <col min="3598" max="3599" width="8.85546875" customWidth="1"/>
    <col min="3600" max="3602" width="7.28515625" customWidth="1"/>
    <col min="3603" max="3604" width="7.85546875" customWidth="1"/>
    <col min="3605" max="3605" width="7.42578125" customWidth="1"/>
    <col min="3606" max="3606" width="7.28515625" customWidth="1"/>
    <col min="3842" max="3842" width="4.5703125" customWidth="1"/>
    <col min="3843" max="3843" width="6.28515625" customWidth="1"/>
    <col min="3844" max="3844" width="19.5703125" customWidth="1"/>
    <col min="3845" max="3845" width="5.42578125" customWidth="1"/>
    <col min="3846" max="3846" width="21.42578125" customWidth="1"/>
    <col min="3847" max="3852" width="5.42578125" customWidth="1"/>
    <col min="3853" max="3853" width="10" customWidth="1"/>
    <col min="3854" max="3855" width="8.85546875" customWidth="1"/>
    <col min="3856" max="3858" width="7.28515625" customWidth="1"/>
    <col min="3859" max="3860" width="7.85546875" customWidth="1"/>
    <col min="3861" max="3861" width="7.42578125" customWidth="1"/>
    <col min="3862" max="3862" width="7.28515625" customWidth="1"/>
    <col min="4098" max="4098" width="4.5703125" customWidth="1"/>
    <col min="4099" max="4099" width="6.28515625" customWidth="1"/>
    <col min="4100" max="4100" width="19.5703125" customWidth="1"/>
    <col min="4101" max="4101" width="5.42578125" customWidth="1"/>
    <col min="4102" max="4102" width="21.42578125" customWidth="1"/>
    <col min="4103" max="4108" width="5.42578125" customWidth="1"/>
    <col min="4109" max="4109" width="10" customWidth="1"/>
    <col min="4110" max="4111" width="8.85546875" customWidth="1"/>
    <col min="4112" max="4114" width="7.28515625" customWidth="1"/>
    <col min="4115" max="4116" width="7.85546875" customWidth="1"/>
    <col min="4117" max="4117" width="7.42578125" customWidth="1"/>
    <col min="4118" max="4118" width="7.28515625" customWidth="1"/>
    <col min="4354" max="4354" width="4.5703125" customWidth="1"/>
    <col min="4355" max="4355" width="6.28515625" customWidth="1"/>
    <col min="4356" max="4356" width="19.5703125" customWidth="1"/>
    <col min="4357" max="4357" width="5.42578125" customWidth="1"/>
    <col min="4358" max="4358" width="21.42578125" customWidth="1"/>
    <col min="4359" max="4364" width="5.42578125" customWidth="1"/>
    <col min="4365" max="4365" width="10" customWidth="1"/>
    <col min="4366" max="4367" width="8.85546875" customWidth="1"/>
    <col min="4368" max="4370" width="7.28515625" customWidth="1"/>
    <col min="4371" max="4372" width="7.85546875" customWidth="1"/>
    <col min="4373" max="4373" width="7.42578125" customWidth="1"/>
    <col min="4374" max="4374" width="7.28515625" customWidth="1"/>
    <col min="4610" max="4610" width="4.5703125" customWidth="1"/>
    <col min="4611" max="4611" width="6.28515625" customWidth="1"/>
    <col min="4612" max="4612" width="19.5703125" customWidth="1"/>
    <col min="4613" max="4613" width="5.42578125" customWidth="1"/>
    <col min="4614" max="4614" width="21.42578125" customWidth="1"/>
    <col min="4615" max="4620" width="5.42578125" customWidth="1"/>
    <col min="4621" max="4621" width="10" customWidth="1"/>
    <col min="4622" max="4623" width="8.85546875" customWidth="1"/>
    <col min="4624" max="4626" width="7.28515625" customWidth="1"/>
    <col min="4627" max="4628" width="7.85546875" customWidth="1"/>
    <col min="4629" max="4629" width="7.42578125" customWidth="1"/>
    <col min="4630" max="4630" width="7.28515625" customWidth="1"/>
    <col min="4866" max="4866" width="4.5703125" customWidth="1"/>
    <col min="4867" max="4867" width="6.28515625" customWidth="1"/>
    <col min="4868" max="4868" width="19.5703125" customWidth="1"/>
    <col min="4869" max="4869" width="5.42578125" customWidth="1"/>
    <col min="4870" max="4870" width="21.42578125" customWidth="1"/>
    <col min="4871" max="4876" width="5.42578125" customWidth="1"/>
    <col min="4877" max="4877" width="10" customWidth="1"/>
    <col min="4878" max="4879" width="8.85546875" customWidth="1"/>
    <col min="4880" max="4882" width="7.28515625" customWidth="1"/>
    <col min="4883" max="4884" width="7.85546875" customWidth="1"/>
    <col min="4885" max="4885" width="7.42578125" customWidth="1"/>
    <col min="4886" max="4886" width="7.28515625" customWidth="1"/>
    <col min="5122" max="5122" width="4.5703125" customWidth="1"/>
    <col min="5123" max="5123" width="6.28515625" customWidth="1"/>
    <col min="5124" max="5124" width="19.5703125" customWidth="1"/>
    <col min="5125" max="5125" width="5.42578125" customWidth="1"/>
    <col min="5126" max="5126" width="21.42578125" customWidth="1"/>
    <col min="5127" max="5132" width="5.42578125" customWidth="1"/>
    <col min="5133" max="5133" width="10" customWidth="1"/>
    <col min="5134" max="5135" width="8.85546875" customWidth="1"/>
    <col min="5136" max="5138" width="7.28515625" customWidth="1"/>
    <col min="5139" max="5140" width="7.85546875" customWidth="1"/>
    <col min="5141" max="5141" width="7.42578125" customWidth="1"/>
    <col min="5142" max="5142" width="7.28515625" customWidth="1"/>
    <col min="5378" max="5378" width="4.5703125" customWidth="1"/>
    <col min="5379" max="5379" width="6.28515625" customWidth="1"/>
    <col min="5380" max="5380" width="19.5703125" customWidth="1"/>
    <col min="5381" max="5381" width="5.42578125" customWidth="1"/>
    <col min="5382" max="5382" width="21.42578125" customWidth="1"/>
    <col min="5383" max="5388" width="5.42578125" customWidth="1"/>
    <col min="5389" max="5389" width="10" customWidth="1"/>
    <col min="5390" max="5391" width="8.85546875" customWidth="1"/>
    <col min="5392" max="5394" width="7.28515625" customWidth="1"/>
    <col min="5395" max="5396" width="7.85546875" customWidth="1"/>
    <col min="5397" max="5397" width="7.42578125" customWidth="1"/>
    <col min="5398" max="5398" width="7.28515625" customWidth="1"/>
    <col min="5634" max="5634" width="4.5703125" customWidth="1"/>
    <col min="5635" max="5635" width="6.28515625" customWidth="1"/>
    <col min="5636" max="5636" width="19.5703125" customWidth="1"/>
    <col min="5637" max="5637" width="5.42578125" customWidth="1"/>
    <col min="5638" max="5638" width="21.42578125" customWidth="1"/>
    <col min="5639" max="5644" width="5.42578125" customWidth="1"/>
    <col min="5645" max="5645" width="10" customWidth="1"/>
    <col min="5646" max="5647" width="8.85546875" customWidth="1"/>
    <col min="5648" max="5650" width="7.28515625" customWidth="1"/>
    <col min="5651" max="5652" width="7.85546875" customWidth="1"/>
    <col min="5653" max="5653" width="7.42578125" customWidth="1"/>
    <col min="5654" max="5654" width="7.28515625" customWidth="1"/>
    <col min="5890" max="5890" width="4.5703125" customWidth="1"/>
    <col min="5891" max="5891" width="6.28515625" customWidth="1"/>
    <col min="5892" max="5892" width="19.5703125" customWidth="1"/>
    <col min="5893" max="5893" width="5.42578125" customWidth="1"/>
    <col min="5894" max="5894" width="21.42578125" customWidth="1"/>
    <col min="5895" max="5900" width="5.42578125" customWidth="1"/>
    <col min="5901" max="5901" width="10" customWidth="1"/>
    <col min="5902" max="5903" width="8.85546875" customWidth="1"/>
    <col min="5904" max="5906" width="7.28515625" customWidth="1"/>
    <col min="5907" max="5908" width="7.85546875" customWidth="1"/>
    <col min="5909" max="5909" width="7.42578125" customWidth="1"/>
    <col min="5910" max="5910" width="7.28515625" customWidth="1"/>
    <col min="6146" max="6146" width="4.5703125" customWidth="1"/>
    <col min="6147" max="6147" width="6.28515625" customWidth="1"/>
    <col min="6148" max="6148" width="19.5703125" customWidth="1"/>
    <col min="6149" max="6149" width="5.42578125" customWidth="1"/>
    <col min="6150" max="6150" width="21.42578125" customWidth="1"/>
    <col min="6151" max="6156" width="5.42578125" customWidth="1"/>
    <col min="6157" max="6157" width="10" customWidth="1"/>
    <col min="6158" max="6159" width="8.85546875" customWidth="1"/>
    <col min="6160" max="6162" width="7.28515625" customWidth="1"/>
    <col min="6163" max="6164" width="7.85546875" customWidth="1"/>
    <col min="6165" max="6165" width="7.42578125" customWidth="1"/>
    <col min="6166" max="6166" width="7.28515625" customWidth="1"/>
    <col min="6402" max="6402" width="4.5703125" customWidth="1"/>
    <col min="6403" max="6403" width="6.28515625" customWidth="1"/>
    <col min="6404" max="6404" width="19.5703125" customWidth="1"/>
    <col min="6405" max="6405" width="5.42578125" customWidth="1"/>
    <col min="6406" max="6406" width="21.42578125" customWidth="1"/>
    <col min="6407" max="6412" width="5.42578125" customWidth="1"/>
    <col min="6413" max="6413" width="10" customWidth="1"/>
    <col min="6414" max="6415" width="8.85546875" customWidth="1"/>
    <col min="6416" max="6418" width="7.28515625" customWidth="1"/>
    <col min="6419" max="6420" width="7.85546875" customWidth="1"/>
    <col min="6421" max="6421" width="7.42578125" customWidth="1"/>
    <col min="6422" max="6422" width="7.28515625" customWidth="1"/>
    <col min="6658" max="6658" width="4.5703125" customWidth="1"/>
    <col min="6659" max="6659" width="6.28515625" customWidth="1"/>
    <col min="6660" max="6660" width="19.5703125" customWidth="1"/>
    <col min="6661" max="6661" width="5.42578125" customWidth="1"/>
    <col min="6662" max="6662" width="21.42578125" customWidth="1"/>
    <col min="6663" max="6668" width="5.42578125" customWidth="1"/>
    <col min="6669" max="6669" width="10" customWidth="1"/>
    <col min="6670" max="6671" width="8.85546875" customWidth="1"/>
    <col min="6672" max="6674" width="7.28515625" customWidth="1"/>
    <col min="6675" max="6676" width="7.85546875" customWidth="1"/>
    <col min="6677" max="6677" width="7.42578125" customWidth="1"/>
    <col min="6678" max="6678" width="7.28515625" customWidth="1"/>
    <col min="6914" max="6914" width="4.5703125" customWidth="1"/>
    <col min="6915" max="6915" width="6.28515625" customWidth="1"/>
    <col min="6916" max="6916" width="19.5703125" customWidth="1"/>
    <col min="6917" max="6917" width="5.42578125" customWidth="1"/>
    <col min="6918" max="6918" width="21.42578125" customWidth="1"/>
    <col min="6919" max="6924" width="5.42578125" customWidth="1"/>
    <col min="6925" max="6925" width="10" customWidth="1"/>
    <col min="6926" max="6927" width="8.85546875" customWidth="1"/>
    <col min="6928" max="6930" width="7.28515625" customWidth="1"/>
    <col min="6931" max="6932" width="7.85546875" customWidth="1"/>
    <col min="6933" max="6933" width="7.42578125" customWidth="1"/>
    <col min="6934" max="6934" width="7.28515625" customWidth="1"/>
    <col min="7170" max="7170" width="4.5703125" customWidth="1"/>
    <col min="7171" max="7171" width="6.28515625" customWidth="1"/>
    <col min="7172" max="7172" width="19.5703125" customWidth="1"/>
    <col min="7173" max="7173" width="5.42578125" customWidth="1"/>
    <col min="7174" max="7174" width="21.42578125" customWidth="1"/>
    <col min="7175" max="7180" width="5.42578125" customWidth="1"/>
    <col min="7181" max="7181" width="10" customWidth="1"/>
    <col min="7182" max="7183" width="8.85546875" customWidth="1"/>
    <col min="7184" max="7186" width="7.28515625" customWidth="1"/>
    <col min="7187" max="7188" width="7.85546875" customWidth="1"/>
    <col min="7189" max="7189" width="7.42578125" customWidth="1"/>
    <col min="7190" max="7190" width="7.28515625" customWidth="1"/>
    <col min="7426" max="7426" width="4.5703125" customWidth="1"/>
    <col min="7427" max="7427" width="6.28515625" customWidth="1"/>
    <col min="7428" max="7428" width="19.5703125" customWidth="1"/>
    <col min="7429" max="7429" width="5.42578125" customWidth="1"/>
    <col min="7430" max="7430" width="21.42578125" customWidth="1"/>
    <col min="7431" max="7436" width="5.42578125" customWidth="1"/>
    <col min="7437" max="7437" width="10" customWidth="1"/>
    <col min="7438" max="7439" width="8.85546875" customWidth="1"/>
    <col min="7440" max="7442" width="7.28515625" customWidth="1"/>
    <col min="7443" max="7444" width="7.85546875" customWidth="1"/>
    <col min="7445" max="7445" width="7.42578125" customWidth="1"/>
    <col min="7446" max="7446" width="7.28515625" customWidth="1"/>
    <col min="7682" max="7682" width="4.5703125" customWidth="1"/>
    <col min="7683" max="7683" width="6.28515625" customWidth="1"/>
    <col min="7684" max="7684" width="19.5703125" customWidth="1"/>
    <col min="7685" max="7685" width="5.42578125" customWidth="1"/>
    <col min="7686" max="7686" width="21.42578125" customWidth="1"/>
    <col min="7687" max="7692" width="5.42578125" customWidth="1"/>
    <col min="7693" max="7693" width="10" customWidth="1"/>
    <col min="7694" max="7695" width="8.85546875" customWidth="1"/>
    <col min="7696" max="7698" width="7.28515625" customWidth="1"/>
    <col min="7699" max="7700" width="7.85546875" customWidth="1"/>
    <col min="7701" max="7701" width="7.42578125" customWidth="1"/>
    <col min="7702" max="7702" width="7.28515625" customWidth="1"/>
    <col min="7938" max="7938" width="4.5703125" customWidth="1"/>
    <col min="7939" max="7939" width="6.28515625" customWidth="1"/>
    <col min="7940" max="7940" width="19.5703125" customWidth="1"/>
    <col min="7941" max="7941" width="5.42578125" customWidth="1"/>
    <col min="7942" max="7942" width="21.42578125" customWidth="1"/>
    <col min="7943" max="7948" width="5.42578125" customWidth="1"/>
    <col min="7949" max="7949" width="10" customWidth="1"/>
    <col min="7950" max="7951" width="8.85546875" customWidth="1"/>
    <col min="7952" max="7954" width="7.28515625" customWidth="1"/>
    <col min="7955" max="7956" width="7.85546875" customWidth="1"/>
    <col min="7957" max="7957" width="7.42578125" customWidth="1"/>
    <col min="7958" max="7958" width="7.28515625" customWidth="1"/>
    <col min="8194" max="8194" width="4.5703125" customWidth="1"/>
    <col min="8195" max="8195" width="6.28515625" customWidth="1"/>
    <col min="8196" max="8196" width="19.5703125" customWidth="1"/>
    <col min="8197" max="8197" width="5.42578125" customWidth="1"/>
    <col min="8198" max="8198" width="21.42578125" customWidth="1"/>
    <col min="8199" max="8204" width="5.42578125" customWidth="1"/>
    <col min="8205" max="8205" width="10" customWidth="1"/>
    <col min="8206" max="8207" width="8.85546875" customWidth="1"/>
    <col min="8208" max="8210" width="7.28515625" customWidth="1"/>
    <col min="8211" max="8212" width="7.85546875" customWidth="1"/>
    <col min="8213" max="8213" width="7.42578125" customWidth="1"/>
    <col min="8214" max="8214" width="7.28515625" customWidth="1"/>
    <col min="8450" max="8450" width="4.5703125" customWidth="1"/>
    <col min="8451" max="8451" width="6.28515625" customWidth="1"/>
    <col min="8452" max="8452" width="19.5703125" customWidth="1"/>
    <col min="8453" max="8453" width="5.42578125" customWidth="1"/>
    <col min="8454" max="8454" width="21.42578125" customWidth="1"/>
    <col min="8455" max="8460" width="5.42578125" customWidth="1"/>
    <col min="8461" max="8461" width="10" customWidth="1"/>
    <col min="8462" max="8463" width="8.85546875" customWidth="1"/>
    <col min="8464" max="8466" width="7.28515625" customWidth="1"/>
    <col min="8467" max="8468" width="7.85546875" customWidth="1"/>
    <col min="8469" max="8469" width="7.42578125" customWidth="1"/>
    <col min="8470" max="8470" width="7.28515625" customWidth="1"/>
    <col min="8706" max="8706" width="4.5703125" customWidth="1"/>
    <col min="8707" max="8707" width="6.28515625" customWidth="1"/>
    <col min="8708" max="8708" width="19.5703125" customWidth="1"/>
    <col min="8709" max="8709" width="5.42578125" customWidth="1"/>
    <col min="8710" max="8710" width="21.42578125" customWidth="1"/>
    <col min="8711" max="8716" width="5.42578125" customWidth="1"/>
    <col min="8717" max="8717" width="10" customWidth="1"/>
    <col min="8718" max="8719" width="8.85546875" customWidth="1"/>
    <col min="8720" max="8722" width="7.28515625" customWidth="1"/>
    <col min="8723" max="8724" width="7.85546875" customWidth="1"/>
    <col min="8725" max="8725" width="7.42578125" customWidth="1"/>
    <col min="8726" max="8726" width="7.28515625" customWidth="1"/>
    <col min="8962" max="8962" width="4.5703125" customWidth="1"/>
    <col min="8963" max="8963" width="6.28515625" customWidth="1"/>
    <col min="8964" max="8964" width="19.5703125" customWidth="1"/>
    <col min="8965" max="8965" width="5.42578125" customWidth="1"/>
    <col min="8966" max="8966" width="21.42578125" customWidth="1"/>
    <col min="8967" max="8972" width="5.42578125" customWidth="1"/>
    <col min="8973" max="8973" width="10" customWidth="1"/>
    <col min="8974" max="8975" width="8.85546875" customWidth="1"/>
    <col min="8976" max="8978" width="7.28515625" customWidth="1"/>
    <col min="8979" max="8980" width="7.85546875" customWidth="1"/>
    <col min="8981" max="8981" width="7.42578125" customWidth="1"/>
    <col min="8982" max="8982" width="7.28515625" customWidth="1"/>
    <col min="9218" max="9218" width="4.5703125" customWidth="1"/>
    <col min="9219" max="9219" width="6.28515625" customWidth="1"/>
    <col min="9220" max="9220" width="19.5703125" customWidth="1"/>
    <col min="9221" max="9221" width="5.42578125" customWidth="1"/>
    <col min="9222" max="9222" width="21.42578125" customWidth="1"/>
    <col min="9223" max="9228" width="5.42578125" customWidth="1"/>
    <col min="9229" max="9229" width="10" customWidth="1"/>
    <col min="9230" max="9231" width="8.85546875" customWidth="1"/>
    <col min="9232" max="9234" width="7.28515625" customWidth="1"/>
    <col min="9235" max="9236" width="7.85546875" customWidth="1"/>
    <col min="9237" max="9237" width="7.42578125" customWidth="1"/>
    <col min="9238" max="9238" width="7.28515625" customWidth="1"/>
    <col min="9474" max="9474" width="4.5703125" customWidth="1"/>
    <col min="9475" max="9475" width="6.28515625" customWidth="1"/>
    <col min="9476" max="9476" width="19.5703125" customWidth="1"/>
    <col min="9477" max="9477" width="5.42578125" customWidth="1"/>
    <col min="9478" max="9478" width="21.42578125" customWidth="1"/>
    <col min="9479" max="9484" width="5.42578125" customWidth="1"/>
    <col min="9485" max="9485" width="10" customWidth="1"/>
    <col min="9486" max="9487" width="8.85546875" customWidth="1"/>
    <col min="9488" max="9490" width="7.28515625" customWidth="1"/>
    <col min="9491" max="9492" width="7.85546875" customWidth="1"/>
    <col min="9493" max="9493" width="7.42578125" customWidth="1"/>
    <col min="9494" max="9494" width="7.28515625" customWidth="1"/>
    <col min="9730" max="9730" width="4.5703125" customWidth="1"/>
    <col min="9731" max="9731" width="6.28515625" customWidth="1"/>
    <col min="9732" max="9732" width="19.5703125" customWidth="1"/>
    <col min="9733" max="9733" width="5.42578125" customWidth="1"/>
    <col min="9734" max="9734" width="21.42578125" customWidth="1"/>
    <col min="9735" max="9740" width="5.42578125" customWidth="1"/>
    <col min="9741" max="9741" width="10" customWidth="1"/>
    <col min="9742" max="9743" width="8.85546875" customWidth="1"/>
    <col min="9744" max="9746" width="7.28515625" customWidth="1"/>
    <col min="9747" max="9748" width="7.85546875" customWidth="1"/>
    <col min="9749" max="9749" width="7.42578125" customWidth="1"/>
    <col min="9750" max="9750" width="7.28515625" customWidth="1"/>
    <col min="9986" max="9986" width="4.5703125" customWidth="1"/>
    <col min="9987" max="9987" width="6.28515625" customWidth="1"/>
    <col min="9988" max="9988" width="19.5703125" customWidth="1"/>
    <col min="9989" max="9989" width="5.42578125" customWidth="1"/>
    <col min="9990" max="9990" width="21.42578125" customWidth="1"/>
    <col min="9991" max="9996" width="5.42578125" customWidth="1"/>
    <col min="9997" max="9997" width="10" customWidth="1"/>
    <col min="9998" max="9999" width="8.85546875" customWidth="1"/>
    <col min="10000" max="10002" width="7.28515625" customWidth="1"/>
    <col min="10003" max="10004" width="7.85546875" customWidth="1"/>
    <col min="10005" max="10005" width="7.42578125" customWidth="1"/>
    <col min="10006" max="10006" width="7.28515625" customWidth="1"/>
    <col min="10242" max="10242" width="4.5703125" customWidth="1"/>
    <col min="10243" max="10243" width="6.28515625" customWidth="1"/>
    <col min="10244" max="10244" width="19.5703125" customWidth="1"/>
    <col min="10245" max="10245" width="5.42578125" customWidth="1"/>
    <col min="10246" max="10246" width="21.42578125" customWidth="1"/>
    <col min="10247" max="10252" width="5.42578125" customWidth="1"/>
    <col min="10253" max="10253" width="10" customWidth="1"/>
    <col min="10254" max="10255" width="8.85546875" customWidth="1"/>
    <col min="10256" max="10258" width="7.28515625" customWidth="1"/>
    <col min="10259" max="10260" width="7.85546875" customWidth="1"/>
    <col min="10261" max="10261" width="7.42578125" customWidth="1"/>
    <col min="10262" max="10262" width="7.28515625" customWidth="1"/>
    <col min="10498" max="10498" width="4.5703125" customWidth="1"/>
    <col min="10499" max="10499" width="6.28515625" customWidth="1"/>
    <col min="10500" max="10500" width="19.5703125" customWidth="1"/>
    <col min="10501" max="10501" width="5.42578125" customWidth="1"/>
    <col min="10502" max="10502" width="21.42578125" customWidth="1"/>
    <col min="10503" max="10508" width="5.42578125" customWidth="1"/>
    <col min="10509" max="10509" width="10" customWidth="1"/>
    <col min="10510" max="10511" width="8.85546875" customWidth="1"/>
    <col min="10512" max="10514" width="7.28515625" customWidth="1"/>
    <col min="10515" max="10516" width="7.85546875" customWidth="1"/>
    <col min="10517" max="10517" width="7.42578125" customWidth="1"/>
    <col min="10518" max="10518" width="7.28515625" customWidth="1"/>
    <col min="10754" max="10754" width="4.5703125" customWidth="1"/>
    <col min="10755" max="10755" width="6.28515625" customWidth="1"/>
    <col min="10756" max="10756" width="19.5703125" customWidth="1"/>
    <col min="10757" max="10757" width="5.42578125" customWidth="1"/>
    <col min="10758" max="10758" width="21.42578125" customWidth="1"/>
    <col min="10759" max="10764" width="5.42578125" customWidth="1"/>
    <col min="10765" max="10765" width="10" customWidth="1"/>
    <col min="10766" max="10767" width="8.85546875" customWidth="1"/>
    <col min="10768" max="10770" width="7.28515625" customWidth="1"/>
    <col min="10771" max="10772" width="7.85546875" customWidth="1"/>
    <col min="10773" max="10773" width="7.42578125" customWidth="1"/>
    <col min="10774" max="10774" width="7.28515625" customWidth="1"/>
    <col min="11010" max="11010" width="4.5703125" customWidth="1"/>
    <col min="11011" max="11011" width="6.28515625" customWidth="1"/>
    <col min="11012" max="11012" width="19.5703125" customWidth="1"/>
    <col min="11013" max="11013" width="5.42578125" customWidth="1"/>
    <col min="11014" max="11014" width="21.42578125" customWidth="1"/>
    <col min="11015" max="11020" width="5.42578125" customWidth="1"/>
    <col min="11021" max="11021" width="10" customWidth="1"/>
    <col min="11022" max="11023" width="8.85546875" customWidth="1"/>
    <col min="11024" max="11026" width="7.28515625" customWidth="1"/>
    <col min="11027" max="11028" width="7.85546875" customWidth="1"/>
    <col min="11029" max="11029" width="7.42578125" customWidth="1"/>
    <col min="11030" max="11030" width="7.28515625" customWidth="1"/>
    <col min="11266" max="11266" width="4.5703125" customWidth="1"/>
    <col min="11267" max="11267" width="6.28515625" customWidth="1"/>
    <col min="11268" max="11268" width="19.5703125" customWidth="1"/>
    <col min="11269" max="11269" width="5.42578125" customWidth="1"/>
    <col min="11270" max="11270" width="21.42578125" customWidth="1"/>
    <col min="11271" max="11276" width="5.42578125" customWidth="1"/>
    <col min="11277" max="11277" width="10" customWidth="1"/>
    <col min="11278" max="11279" width="8.85546875" customWidth="1"/>
    <col min="11280" max="11282" width="7.28515625" customWidth="1"/>
    <col min="11283" max="11284" width="7.85546875" customWidth="1"/>
    <col min="11285" max="11285" width="7.42578125" customWidth="1"/>
    <col min="11286" max="11286" width="7.28515625" customWidth="1"/>
    <col min="11522" max="11522" width="4.5703125" customWidth="1"/>
    <col min="11523" max="11523" width="6.28515625" customWidth="1"/>
    <col min="11524" max="11524" width="19.5703125" customWidth="1"/>
    <col min="11525" max="11525" width="5.42578125" customWidth="1"/>
    <col min="11526" max="11526" width="21.42578125" customWidth="1"/>
    <col min="11527" max="11532" width="5.42578125" customWidth="1"/>
    <col min="11533" max="11533" width="10" customWidth="1"/>
    <col min="11534" max="11535" width="8.85546875" customWidth="1"/>
    <col min="11536" max="11538" width="7.28515625" customWidth="1"/>
    <col min="11539" max="11540" width="7.85546875" customWidth="1"/>
    <col min="11541" max="11541" width="7.42578125" customWidth="1"/>
    <col min="11542" max="11542" width="7.28515625" customWidth="1"/>
    <col min="11778" max="11778" width="4.5703125" customWidth="1"/>
    <col min="11779" max="11779" width="6.28515625" customWidth="1"/>
    <col min="11780" max="11780" width="19.5703125" customWidth="1"/>
    <col min="11781" max="11781" width="5.42578125" customWidth="1"/>
    <col min="11782" max="11782" width="21.42578125" customWidth="1"/>
    <col min="11783" max="11788" width="5.42578125" customWidth="1"/>
    <col min="11789" max="11789" width="10" customWidth="1"/>
    <col min="11790" max="11791" width="8.85546875" customWidth="1"/>
    <col min="11792" max="11794" width="7.28515625" customWidth="1"/>
    <col min="11795" max="11796" width="7.85546875" customWidth="1"/>
    <col min="11797" max="11797" width="7.42578125" customWidth="1"/>
    <col min="11798" max="11798" width="7.28515625" customWidth="1"/>
    <col min="12034" max="12034" width="4.5703125" customWidth="1"/>
    <col min="12035" max="12035" width="6.28515625" customWidth="1"/>
    <col min="12036" max="12036" width="19.5703125" customWidth="1"/>
    <col min="12037" max="12037" width="5.42578125" customWidth="1"/>
    <col min="12038" max="12038" width="21.42578125" customWidth="1"/>
    <col min="12039" max="12044" width="5.42578125" customWidth="1"/>
    <col min="12045" max="12045" width="10" customWidth="1"/>
    <col min="12046" max="12047" width="8.85546875" customWidth="1"/>
    <col min="12048" max="12050" width="7.28515625" customWidth="1"/>
    <col min="12051" max="12052" width="7.85546875" customWidth="1"/>
    <col min="12053" max="12053" width="7.42578125" customWidth="1"/>
    <col min="12054" max="12054" width="7.28515625" customWidth="1"/>
    <col min="12290" max="12290" width="4.5703125" customWidth="1"/>
    <col min="12291" max="12291" width="6.28515625" customWidth="1"/>
    <col min="12292" max="12292" width="19.5703125" customWidth="1"/>
    <col min="12293" max="12293" width="5.42578125" customWidth="1"/>
    <col min="12294" max="12294" width="21.42578125" customWidth="1"/>
    <col min="12295" max="12300" width="5.42578125" customWidth="1"/>
    <col min="12301" max="12301" width="10" customWidth="1"/>
    <col min="12302" max="12303" width="8.85546875" customWidth="1"/>
    <col min="12304" max="12306" width="7.28515625" customWidth="1"/>
    <col min="12307" max="12308" width="7.85546875" customWidth="1"/>
    <col min="12309" max="12309" width="7.42578125" customWidth="1"/>
    <col min="12310" max="12310" width="7.28515625" customWidth="1"/>
    <col min="12546" max="12546" width="4.5703125" customWidth="1"/>
    <col min="12547" max="12547" width="6.28515625" customWidth="1"/>
    <col min="12548" max="12548" width="19.5703125" customWidth="1"/>
    <col min="12549" max="12549" width="5.42578125" customWidth="1"/>
    <col min="12550" max="12550" width="21.42578125" customWidth="1"/>
    <col min="12551" max="12556" width="5.42578125" customWidth="1"/>
    <col min="12557" max="12557" width="10" customWidth="1"/>
    <col min="12558" max="12559" width="8.85546875" customWidth="1"/>
    <col min="12560" max="12562" width="7.28515625" customWidth="1"/>
    <col min="12563" max="12564" width="7.85546875" customWidth="1"/>
    <col min="12565" max="12565" width="7.42578125" customWidth="1"/>
    <col min="12566" max="12566" width="7.28515625" customWidth="1"/>
    <col min="12802" max="12802" width="4.5703125" customWidth="1"/>
    <col min="12803" max="12803" width="6.28515625" customWidth="1"/>
    <col min="12804" max="12804" width="19.5703125" customWidth="1"/>
    <col min="12805" max="12805" width="5.42578125" customWidth="1"/>
    <col min="12806" max="12806" width="21.42578125" customWidth="1"/>
    <col min="12807" max="12812" width="5.42578125" customWidth="1"/>
    <col min="12813" max="12813" width="10" customWidth="1"/>
    <col min="12814" max="12815" width="8.85546875" customWidth="1"/>
    <col min="12816" max="12818" width="7.28515625" customWidth="1"/>
    <col min="12819" max="12820" width="7.85546875" customWidth="1"/>
    <col min="12821" max="12821" width="7.42578125" customWidth="1"/>
    <col min="12822" max="12822" width="7.28515625" customWidth="1"/>
    <col min="13058" max="13058" width="4.5703125" customWidth="1"/>
    <col min="13059" max="13059" width="6.28515625" customWidth="1"/>
    <col min="13060" max="13060" width="19.5703125" customWidth="1"/>
    <col min="13061" max="13061" width="5.42578125" customWidth="1"/>
    <col min="13062" max="13062" width="21.42578125" customWidth="1"/>
    <col min="13063" max="13068" width="5.42578125" customWidth="1"/>
    <col min="13069" max="13069" width="10" customWidth="1"/>
    <col min="13070" max="13071" width="8.85546875" customWidth="1"/>
    <col min="13072" max="13074" width="7.28515625" customWidth="1"/>
    <col min="13075" max="13076" width="7.85546875" customWidth="1"/>
    <col min="13077" max="13077" width="7.42578125" customWidth="1"/>
    <col min="13078" max="13078" width="7.28515625" customWidth="1"/>
    <col min="13314" max="13314" width="4.5703125" customWidth="1"/>
    <col min="13315" max="13315" width="6.28515625" customWidth="1"/>
    <col min="13316" max="13316" width="19.5703125" customWidth="1"/>
    <col min="13317" max="13317" width="5.42578125" customWidth="1"/>
    <col min="13318" max="13318" width="21.42578125" customWidth="1"/>
    <col min="13319" max="13324" width="5.42578125" customWidth="1"/>
    <col min="13325" max="13325" width="10" customWidth="1"/>
    <col min="13326" max="13327" width="8.85546875" customWidth="1"/>
    <col min="13328" max="13330" width="7.28515625" customWidth="1"/>
    <col min="13331" max="13332" width="7.85546875" customWidth="1"/>
    <col min="13333" max="13333" width="7.42578125" customWidth="1"/>
    <col min="13334" max="13334" width="7.28515625" customWidth="1"/>
    <col min="13570" max="13570" width="4.5703125" customWidth="1"/>
    <col min="13571" max="13571" width="6.28515625" customWidth="1"/>
    <col min="13572" max="13572" width="19.5703125" customWidth="1"/>
    <col min="13573" max="13573" width="5.42578125" customWidth="1"/>
    <col min="13574" max="13574" width="21.42578125" customWidth="1"/>
    <col min="13575" max="13580" width="5.42578125" customWidth="1"/>
    <col min="13581" max="13581" width="10" customWidth="1"/>
    <col min="13582" max="13583" width="8.85546875" customWidth="1"/>
    <col min="13584" max="13586" width="7.28515625" customWidth="1"/>
    <col min="13587" max="13588" width="7.85546875" customWidth="1"/>
    <col min="13589" max="13589" width="7.42578125" customWidth="1"/>
    <col min="13590" max="13590" width="7.28515625" customWidth="1"/>
    <col min="13826" max="13826" width="4.5703125" customWidth="1"/>
    <col min="13827" max="13827" width="6.28515625" customWidth="1"/>
    <col min="13828" max="13828" width="19.5703125" customWidth="1"/>
    <col min="13829" max="13829" width="5.42578125" customWidth="1"/>
    <col min="13830" max="13830" width="21.42578125" customWidth="1"/>
    <col min="13831" max="13836" width="5.42578125" customWidth="1"/>
    <col min="13837" max="13837" width="10" customWidth="1"/>
    <col min="13838" max="13839" width="8.85546875" customWidth="1"/>
    <col min="13840" max="13842" width="7.28515625" customWidth="1"/>
    <col min="13843" max="13844" width="7.85546875" customWidth="1"/>
    <col min="13845" max="13845" width="7.42578125" customWidth="1"/>
    <col min="13846" max="13846" width="7.28515625" customWidth="1"/>
    <col min="14082" max="14082" width="4.5703125" customWidth="1"/>
    <col min="14083" max="14083" width="6.28515625" customWidth="1"/>
    <col min="14084" max="14084" width="19.5703125" customWidth="1"/>
    <col min="14085" max="14085" width="5.42578125" customWidth="1"/>
    <col min="14086" max="14086" width="21.42578125" customWidth="1"/>
    <col min="14087" max="14092" width="5.42578125" customWidth="1"/>
    <col min="14093" max="14093" width="10" customWidth="1"/>
    <col min="14094" max="14095" width="8.85546875" customWidth="1"/>
    <col min="14096" max="14098" width="7.28515625" customWidth="1"/>
    <col min="14099" max="14100" width="7.85546875" customWidth="1"/>
    <col min="14101" max="14101" width="7.42578125" customWidth="1"/>
    <col min="14102" max="14102" width="7.28515625" customWidth="1"/>
    <col min="14338" max="14338" width="4.5703125" customWidth="1"/>
    <col min="14339" max="14339" width="6.28515625" customWidth="1"/>
    <col min="14340" max="14340" width="19.5703125" customWidth="1"/>
    <col min="14341" max="14341" width="5.42578125" customWidth="1"/>
    <col min="14342" max="14342" width="21.42578125" customWidth="1"/>
    <col min="14343" max="14348" width="5.42578125" customWidth="1"/>
    <col min="14349" max="14349" width="10" customWidth="1"/>
    <col min="14350" max="14351" width="8.85546875" customWidth="1"/>
    <col min="14352" max="14354" width="7.28515625" customWidth="1"/>
    <col min="14355" max="14356" width="7.85546875" customWidth="1"/>
    <col min="14357" max="14357" width="7.42578125" customWidth="1"/>
    <col min="14358" max="14358" width="7.28515625" customWidth="1"/>
    <col min="14594" max="14594" width="4.5703125" customWidth="1"/>
    <col min="14595" max="14595" width="6.28515625" customWidth="1"/>
    <col min="14596" max="14596" width="19.5703125" customWidth="1"/>
    <col min="14597" max="14597" width="5.42578125" customWidth="1"/>
    <col min="14598" max="14598" width="21.42578125" customWidth="1"/>
    <col min="14599" max="14604" width="5.42578125" customWidth="1"/>
    <col min="14605" max="14605" width="10" customWidth="1"/>
    <col min="14606" max="14607" width="8.85546875" customWidth="1"/>
    <col min="14608" max="14610" width="7.28515625" customWidth="1"/>
    <col min="14611" max="14612" width="7.85546875" customWidth="1"/>
    <col min="14613" max="14613" width="7.42578125" customWidth="1"/>
    <col min="14614" max="14614" width="7.28515625" customWidth="1"/>
    <col min="14850" max="14850" width="4.5703125" customWidth="1"/>
    <col min="14851" max="14851" width="6.28515625" customWidth="1"/>
    <col min="14852" max="14852" width="19.5703125" customWidth="1"/>
    <col min="14853" max="14853" width="5.42578125" customWidth="1"/>
    <col min="14854" max="14854" width="21.42578125" customWidth="1"/>
    <col min="14855" max="14860" width="5.42578125" customWidth="1"/>
    <col min="14861" max="14861" width="10" customWidth="1"/>
    <col min="14862" max="14863" width="8.85546875" customWidth="1"/>
    <col min="14864" max="14866" width="7.28515625" customWidth="1"/>
    <col min="14867" max="14868" width="7.85546875" customWidth="1"/>
    <col min="14869" max="14869" width="7.42578125" customWidth="1"/>
    <col min="14870" max="14870" width="7.28515625" customWidth="1"/>
    <col min="15106" max="15106" width="4.5703125" customWidth="1"/>
    <col min="15107" max="15107" width="6.28515625" customWidth="1"/>
    <col min="15108" max="15108" width="19.5703125" customWidth="1"/>
    <col min="15109" max="15109" width="5.42578125" customWidth="1"/>
    <col min="15110" max="15110" width="21.42578125" customWidth="1"/>
    <col min="15111" max="15116" width="5.42578125" customWidth="1"/>
    <col min="15117" max="15117" width="10" customWidth="1"/>
    <col min="15118" max="15119" width="8.85546875" customWidth="1"/>
    <col min="15120" max="15122" width="7.28515625" customWidth="1"/>
    <col min="15123" max="15124" width="7.85546875" customWidth="1"/>
    <col min="15125" max="15125" width="7.42578125" customWidth="1"/>
    <col min="15126" max="15126" width="7.28515625" customWidth="1"/>
    <col min="15362" max="15362" width="4.5703125" customWidth="1"/>
    <col min="15363" max="15363" width="6.28515625" customWidth="1"/>
    <col min="15364" max="15364" width="19.5703125" customWidth="1"/>
    <col min="15365" max="15365" width="5.42578125" customWidth="1"/>
    <col min="15366" max="15366" width="21.42578125" customWidth="1"/>
    <col min="15367" max="15372" width="5.42578125" customWidth="1"/>
    <col min="15373" max="15373" width="10" customWidth="1"/>
    <col min="15374" max="15375" width="8.85546875" customWidth="1"/>
    <col min="15376" max="15378" width="7.28515625" customWidth="1"/>
    <col min="15379" max="15380" width="7.85546875" customWidth="1"/>
    <col min="15381" max="15381" width="7.42578125" customWidth="1"/>
    <col min="15382" max="15382" width="7.28515625" customWidth="1"/>
    <col min="15618" max="15618" width="4.5703125" customWidth="1"/>
    <col min="15619" max="15619" width="6.28515625" customWidth="1"/>
    <col min="15620" max="15620" width="19.5703125" customWidth="1"/>
    <col min="15621" max="15621" width="5.42578125" customWidth="1"/>
    <col min="15622" max="15622" width="21.42578125" customWidth="1"/>
    <col min="15623" max="15628" width="5.42578125" customWidth="1"/>
    <col min="15629" max="15629" width="10" customWidth="1"/>
    <col min="15630" max="15631" width="8.85546875" customWidth="1"/>
    <col min="15632" max="15634" width="7.28515625" customWidth="1"/>
    <col min="15635" max="15636" width="7.85546875" customWidth="1"/>
    <col min="15637" max="15637" width="7.42578125" customWidth="1"/>
    <col min="15638" max="15638" width="7.28515625" customWidth="1"/>
    <col min="15874" max="15874" width="4.5703125" customWidth="1"/>
    <col min="15875" max="15875" width="6.28515625" customWidth="1"/>
    <col min="15876" max="15876" width="19.5703125" customWidth="1"/>
    <col min="15877" max="15877" width="5.42578125" customWidth="1"/>
    <col min="15878" max="15878" width="21.42578125" customWidth="1"/>
    <col min="15879" max="15884" width="5.42578125" customWidth="1"/>
    <col min="15885" max="15885" width="10" customWidth="1"/>
    <col min="15886" max="15887" width="8.85546875" customWidth="1"/>
    <col min="15888" max="15890" width="7.28515625" customWidth="1"/>
    <col min="15891" max="15892" width="7.85546875" customWidth="1"/>
    <col min="15893" max="15893" width="7.42578125" customWidth="1"/>
    <col min="15894" max="15894" width="7.28515625" customWidth="1"/>
    <col min="16130" max="16130" width="4.5703125" customWidth="1"/>
    <col min="16131" max="16131" width="6.28515625" customWidth="1"/>
    <col min="16132" max="16132" width="19.5703125" customWidth="1"/>
    <col min="16133" max="16133" width="5.42578125" customWidth="1"/>
    <col min="16134" max="16134" width="21.42578125" customWidth="1"/>
    <col min="16135" max="16140" width="5.42578125" customWidth="1"/>
    <col min="16141" max="16141" width="10" customWidth="1"/>
    <col min="16142" max="16143" width="8.85546875" customWidth="1"/>
    <col min="16144" max="16146" width="7.28515625" customWidth="1"/>
    <col min="16147" max="16148" width="7.85546875" customWidth="1"/>
    <col min="16149" max="16149" width="7.42578125" customWidth="1"/>
    <col min="16150" max="16150" width="7.28515625" customWidth="1"/>
  </cols>
  <sheetData>
    <row r="1" spans="1:20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48"/>
    </row>
    <row r="2" spans="1:20">
      <c r="A2" s="68" t="s">
        <v>85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>
      <c r="A4" s="47"/>
      <c r="B4" s="47"/>
      <c r="C4" s="47"/>
      <c r="D4" s="6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1:20">
      <c r="A5" s="45"/>
      <c r="B5" s="45"/>
      <c r="C5" s="45"/>
      <c r="D5" s="61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8"/>
    </row>
    <row r="6" spans="1:20" hidden="1">
      <c r="A6" s="46"/>
      <c r="B6" s="46"/>
      <c r="C6" s="46"/>
      <c r="D6" s="62"/>
      <c r="E6" s="45"/>
      <c r="F6" s="46"/>
      <c r="G6" s="46"/>
      <c r="H6" s="46"/>
      <c r="I6" s="46"/>
      <c r="J6" s="46"/>
      <c r="K6" s="45"/>
      <c r="L6" s="45"/>
      <c r="M6" s="46"/>
      <c r="N6" s="46"/>
      <c r="O6" s="46"/>
      <c r="P6" s="46"/>
      <c r="Q6" s="46"/>
      <c r="R6" s="46"/>
      <c r="S6" s="46"/>
      <c r="T6" s="48"/>
    </row>
    <row r="7" spans="1:20">
      <c r="A7" s="67" t="s">
        <v>1</v>
      </c>
      <c r="B7" s="69" t="s">
        <v>2</v>
      </c>
      <c r="C7" s="71" t="s">
        <v>3</v>
      </c>
      <c r="D7" s="72" t="s">
        <v>4</v>
      </c>
      <c r="E7" s="74" t="s">
        <v>5</v>
      </c>
      <c r="F7" s="69" t="s">
        <v>6</v>
      </c>
      <c r="G7" s="69" t="s">
        <v>7</v>
      </c>
      <c r="H7" s="69" t="s">
        <v>8</v>
      </c>
      <c r="I7" s="69" t="s">
        <v>9</v>
      </c>
      <c r="J7" s="69" t="s">
        <v>10</v>
      </c>
      <c r="K7" s="79" t="s">
        <v>11</v>
      </c>
      <c r="L7" s="74" t="s">
        <v>12</v>
      </c>
      <c r="M7" s="51"/>
      <c r="N7" s="52"/>
      <c r="O7" s="52"/>
      <c r="P7" s="52"/>
      <c r="Q7" s="52"/>
      <c r="R7" s="67" t="s">
        <v>71</v>
      </c>
      <c r="S7" s="67" t="s">
        <v>72</v>
      </c>
      <c r="T7" s="67" t="s">
        <v>73</v>
      </c>
    </row>
    <row r="8" spans="1:20" ht="26.25" customHeight="1">
      <c r="A8" s="67"/>
      <c r="B8" s="70"/>
      <c r="C8" s="71"/>
      <c r="D8" s="73"/>
      <c r="E8" s="75"/>
      <c r="F8" s="77"/>
      <c r="G8" s="70"/>
      <c r="H8" s="70"/>
      <c r="I8" s="70"/>
      <c r="J8" s="70"/>
      <c r="K8" s="80"/>
      <c r="L8" s="75"/>
      <c r="M8" s="67" t="s">
        <v>13</v>
      </c>
      <c r="N8" s="67"/>
      <c r="O8" s="67" t="s">
        <v>14</v>
      </c>
      <c r="P8" s="67"/>
      <c r="Q8" s="53" t="s">
        <v>15</v>
      </c>
      <c r="R8" s="67"/>
      <c r="S8" s="67"/>
      <c r="T8" s="67"/>
    </row>
    <row r="9" spans="1:20" ht="30.75" customHeight="1">
      <c r="A9" s="67"/>
      <c r="B9" s="70"/>
      <c r="C9" s="71"/>
      <c r="D9" s="73"/>
      <c r="E9" s="76"/>
      <c r="F9" s="77"/>
      <c r="G9" s="70"/>
      <c r="H9" s="70"/>
      <c r="I9" s="70"/>
      <c r="J9" s="70"/>
      <c r="K9" s="81"/>
      <c r="L9" s="76"/>
      <c r="M9" s="1" t="s">
        <v>16</v>
      </c>
      <c r="N9" s="2" t="s">
        <v>17</v>
      </c>
      <c r="O9" s="2" t="s">
        <v>16</v>
      </c>
      <c r="P9" s="2" t="s">
        <v>17</v>
      </c>
      <c r="Q9" s="54" t="s">
        <v>16</v>
      </c>
      <c r="R9" s="67"/>
      <c r="S9" s="67"/>
      <c r="T9" s="67"/>
    </row>
    <row r="10" spans="1:20">
      <c r="A10" s="3">
        <v>1</v>
      </c>
      <c r="B10" s="3">
        <v>2</v>
      </c>
      <c r="C10" s="3">
        <v>2</v>
      </c>
      <c r="D10" s="6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4">
        <v>12</v>
      </c>
      <c r="N10" s="3">
        <v>13</v>
      </c>
      <c r="O10" s="3">
        <v>14</v>
      </c>
      <c r="P10" s="3">
        <v>15</v>
      </c>
      <c r="Q10" s="3">
        <v>16</v>
      </c>
      <c r="R10" s="3">
        <v>5</v>
      </c>
      <c r="S10" s="3">
        <v>6</v>
      </c>
      <c r="T10" s="49">
        <v>7</v>
      </c>
    </row>
    <row r="11" spans="1:20">
      <c r="A11" s="5">
        <v>1</v>
      </c>
      <c r="B11" s="6">
        <v>1983</v>
      </c>
      <c r="C11" s="7" t="s">
        <v>18</v>
      </c>
      <c r="D11" s="16">
        <v>28</v>
      </c>
      <c r="E11" s="8" t="s">
        <v>19</v>
      </c>
      <c r="F11" s="8" t="s">
        <v>20</v>
      </c>
      <c r="G11" s="8">
        <v>8</v>
      </c>
      <c r="H11" s="8">
        <v>5</v>
      </c>
      <c r="I11" s="8">
        <v>1</v>
      </c>
      <c r="J11" s="8">
        <v>6</v>
      </c>
      <c r="K11" s="6">
        <v>90</v>
      </c>
      <c r="L11" s="9">
        <f t="shared" ref="L11:L70" si="0">M11+O11+Q11+R11+S11</f>
        <v>4912.9999999999991</v>
      </c>
      <c r="M11" s="10">
        <f>4426.7-0.5-0.2-0.6</f>
        <v>4425.3999999999996</v>
      </c>
      <c r="N11" s="6">
        <f>2548.9-0.2-0.2+3.1</f>
        <v>2551.6000000000004</v>
      </c>
      <c r="O11" s="11"/>
      <c r="P11" s="11"/>
      <c r="Q11" s="11"/>
      <c r="R11" s="12">
        <v>420.7</v>
      </c>
      <c r="S11" s="12">
        <v>66.900000000000006</v>
      </c>
      <c r="T11" s="12">
        <f>R11+S11</f>
        <v>487.6</v>
      </c>
    </row>
    <row r="12" spans="1:20">
      <c r="A12" s="5">
        <v>2</v>
      </c>
      <c r="B12" s="6">
        <v>1984</v>
      </c>
      <c r="C12" s="7" t="s">
        <v>21</v>
      </c>
      <c r="D12" s="16">
        <v>33</v>
      </c>
      <c r="E12" s="8" t="s">
        <v>19</v>
      </c>
      <c r="F12" s="8" t="s">
        <v>20</v>
      </c>
      <c r="G12" s="8">
        <v>8</v>
      </c>
      <c r="H12" s="8">
        <v>5</v>
      </c>
      <c r="I12" s="8">
        <v>1</v>
      </c>
      <c r="J12" s="8">
        <v>2</v>
      </c>
      <c r="K12" s="6">
        <v>30</v>
      </c>
      <c r="L12" s="9">
        <f t="shared" si="0"/>
        <v>1641.1</v>
      </c>
      <c r="M12" s="10">
        <v>1477.1</v>
      </c>
      <c r="N12" s="6">
        <v>855.8</v>
      </c>
      <c r="O12" s="11"/>
      <c r="P12" s="11"/>
      <c r="Q12" s="11"/>
      <c r="R12" s="12">
        <v>141.9</v>
      </c>
      <c r="S12" s="12">
        <v>22.1</v>
      </c>
      <c r="T12" s="12">
        <f t="shared" ref="T12:T76" si="1">R12+S12</f>
        <v>164</v>
      </c>
    </row>
    <row r="13" spans="1:20">
      <c r="A13" s="5">
        <v>3</v>
      </c>
      <c r="B13" s="6">
        <v>1984</v>
      </c>
      <c r="C13" s="7" t="s">
        <v>22</v>
      </c>
      <c r="D13" s="64" t="s">
        <v>23</v>
      </c>
      <c r="E13" s="8" t="s">
        <v>24</v>
      </c>
      <c r="F13" s="8" t="s">
        <v>25</v>
      </c>
      <c r="G13" s="8">
        <v>14</v>
      </c>
      <c r="H13" s="8">
        <v>2</v>
      </c>
      <c r="I13" s="8">
        <v>1</v>
      </c>
      <c r="J13" s="8">
        <v>2</v>
      </c>
      <c r="K13" s="8">
        <v>16</v>
      </c>
      <c r="L13" s="9">
        <f t="shared" si="0"/>
        <v>1079.4000000000001</v>
      </c>
      <c r="M13" s="13">
        <v>903.7</v>
      </c>
      <c r="N13" s="8">
        <v>499.6</v>
      </c>
      <c r="O13" s="14"/>
      <c r="P13" s="14"/>
      <c r="Q13" s="14"/>
      <c r="R13" s="15">
        <v>70.599999999999994</v>
      </c>
      <c r="S13" s="6">
        <v>105.1</v>
      </c>
      <c r="T13" s="12">
        <f t="shared" si="1"/>
        <v>175.7</v>
      </c>
    </row>
    <row r="14" spans="1:20">
      <c r="A14" s="5">
        <v>4</v>
      </c>
      <c r="B14" s="6">
        <v>1982</v>
      </c>
      <c r="C14" s="7" t="s">
        <v>26</v>
      </c>
      <c r="D14" s="16" t="s">
        <v>27</v>
      </c>
      <c r="E14" s="8" t="s">
        <v>24</v>
      </c>
      <c r="F14" s="16" t="s">
        <v>28</v>
      </c>
      <c r="G14" s="8" t="s">
        <v>29</v>
      </c>
      <c r="H14" s="8">
        <v>2</v>
      </c>
      <c r="I14" s="8">
        <v>1</v>
      </c>
      <c r="J14" s="8">
        <v>3</v>
      </c>
      <c r="K14" s="8">
        <v>12</v>
      </c>
      <c r="L14" s="9">
        <f t="shared" si="0"/>
        <v>847</v>
      </c>
      <c r="M14" s="13">
        <f>759+0.3-0.4-1.5</f>
        <v>757.4</v>
      </c>
      <c r="N14" s="8">
        <f>399-0.4-0.4</f>
        <v>398.20000000000005</v>
      </c>
      <c r="O14" s="14"/>
      <c r="P14" s="14"/>
      <c r="Q14" s="14"/>
      <c r="R14" s="6">
        <f>13.8+13.8+13.7+14.7+14.7+14.7</f>
        <v>85.4</v>
      </c>
      <c r="S14" s="6">
        <f>89.6-85.4</f>
        <v>4.1999999999999886</v>
      </c>
      <c r="T14" s="12">
        <f t="shared" si="1"/>
        <v>89.6</v>
      </c>
    </row>
    <row r="15" spans="1:20">
      <c r="A15" s="5">
        <v>5</v>
      </c>
      <c r="B15" s="6">
        <v>1981</v>
      </c>
      <c r="C15" s="7" t="s">
        <v>26</v>
      </c>
      <c r="D15" s="16" t="s">
        <v>30</v>
      </c>
      <c r="E15" s="8" t="s">
        <v>24</v>
      </c>
      <c r="F15" s="16" t="s">
        <v>28</v>
      </c>
      <c r="G15" s="8" t="s">
        <v>29</v>
      </c>
      <c r="H15" s="8">
        <v>2</v>
      </c>
      <c r="I15" s="8">
        <v>1</v>
      </c>
      <c r="J15" s="8">
        <v>3</v>
      </c>
      <c r="K15" s="8">
        <v>12</v>
      </c>
      <c r="L15" s="9">
        <f t="shared" si="0"/>
        <v>839.2</v>
      </c>
      <c r="M15" s="10">
        <v>752.6</v>
      </c>
      <c r="N15" s="16">
        <v>395.7</v>
      </c>
      <c r="O15" s="14"/>
      <c r="P15" s="14"/>
      <c r="Q15" s="14"/>
      <c r="R15" s="6">
        <f>10.5+11.6+11.3+16.1+15.8+16</f>
        <v>81.300000000000011</v>
      </c>
      <c r="S15" s="6">
        <f>86.6-81.3</f>
        <v>5.2999999999999972</v>
      </c>
      <c r="T15" s="12">
        <f t="shared" si="1"/>
        <v>86.600000000000009</v>
      </c>
    </row>
    <row r="16" spans="1:20">
      <c r="A16" s="5">
        <v>6</v>
      </c>
      <c r="B16" s="6">
        <v>1981</v>
      </c>
      <c r="C16" s="7" t="s">
        <v>26</v>
      </c>
      <c r="D16" s="15" t="s">
        <v>31</v>
      </c>
      <c r="E16" s="8" t="s">
        <v>24</v>
      </c>
      <c r="F16" s="16" t="s">
        <v>28</v>
      </c>
      <c r="G16" s="8" t="s">
        <v>29</v>
      </c>
      <c r="H16" s="8">
        <v>2</v>
      </c>
      <c r="I16" s="8">
        <v>1</v>
      </c>
      <c r="J16" s="8">
        <v>3</v>
      </c>
      <c r="K16" s="8">
        <v>12</v>
      </c>
      <c r="L16" s="9">
        <f t="shared" si="0"/>
        <v>835</v>
      </c>
      <c r="M16" s="13">
        <f>740.5-0.2</f>
        <v>740.3</v>
      </c>
      <c r="N16" s="8">
        <f>395.1-0.2</f>
        <v>394.90000000000003</v>
      </c>
      <c r="O16" s="14"/>
      <c r="P16" s="14"/>
      <c r="Q16" s="14"/>
      <c r="R16" s="8">
        <v>90.5</v>
      </c>
      <c r="S16" s="8">
        <v>4.2</v>
      </c>
      <c r="T16" s="12">
        <f t="shared" si="1"/>
        <v>94.7</v>
      </c>
    </row>
    <row r="17" spans="1:20">
      <c r="A17" s="5">
        <v>7</v>
      </c>
      <c r="B17" s="6">
        <v>1981</v>
      </c>
      <c r="C17" s="7" t="s">
        <v>26</v>
      </c>
      <c r="D17" s="16" t="s">
        <v>32</v>
      </c>
      <c r="E17" s="8" t="s">
        <v>24</v>
      </c>
      <c r="F17" s="16" t="s">
        <v>28</v>
      </c>
      <c r="G17" s="8">
        <v>15</v>
      </c>
      <c r="H17" s="8">
        <v>2</v>
      </c>
      <c r="I17" s="8">
        <v>1</v>
      </c>
      <c r="J17" s="8">
        <v>3</v>
      </c>
      <c r="K17" s="8">
        <v>12</v>
      </c>
      <c r="L17" s="9">
        <f t="shared" si="0"/>
        <v>852</v>
      </c>
      <c r="M17" s="13">
        <v>758</v>
      </c>
      <c r="N17" s="8">
        <v>400</v>
      </c>
      <c r="O17" s="14"/>
      <c r="P17" s="14"/>
      <c r="Q17" s="14"/>
      <c r="R17" s="6">
        <f>13.9+14.4+14.4+15.7+15.7+15.7</f>
        <v>89.800000000000011</v>
      </c>
      <c r="S17" s="6">
        <f>94-R17</f>
        <v>4.1999999999999886</v>
      </c>
      <c r="T17" s="12">
        <f t="shared" si="1"/>
        <v>94</v>
      </c>
    </row>
    <row r="18" spans="1:20">
      <c r="A18" s="5">
        <v>8</v>
      </c>
      <c r="B18" s="6">
        <v>1984</v>
      </c>
      <c r="C18" s="7" t="s">
        <v>22</v>
      </c>
      <c r="D18" s="16">
        <v>49</v>
      </c>
      <c r="E18" s="8" t="s">
        <v>24</v>
      </c>
      <c r="F18" s="16" t="s">
        <v>25</v>
      </c>
      <c r="G18" s="8" t="s">
        <v>33</v>
      </c>
      <c r="H18" s="8">
        <v>2</v>
      </c>
      <c r="I18" s="8">
        <v>1</v>
      </c>
      <c r="J18" s="8">
        <v>2</v>
      </c>
      <c r="K18" s="8">
        <v>16</v>
      </c>
      <c r="L18" s="9">
        <f t="shared" si="0"/>
        <v>1067.0999999999999</v>
      </c>
      <c r="M18" s="13">
        <f>894-0.5</f>
        <v>893.5</v>
      </c>
      <c r="N18" s="8">
        <f>500.5-0.4</f>
        <v>500.1</v>
      </c>
      <c r="O18" s="14"/>
      <c r="P18" s="14"/>
      <c r="Q18" s="14"/>
      <c r="R18" s="15">
        <v>69.400000000000006</v>
      </c>
      <c r="S18" s="6">
        <v>104.2</v>
      </c>
      <c r="T18" s="12">
        <f t="shared" si="1"/>
        <v>173.60000000000002</v>
      </c>
    </row>
    <row r="19" spans="1:20">
      <c r="A19" s="5">
        <v>9</v>
      </c>
      <c r="B19" s="6">
        <v>1985</v>
      </c>
      <c r="C19" s="7" t="s">
        <v>22</v>
      </c>
      <c r="D19" s="16" t="s">
        <v>34</v>
      </c>
      <c r="E19" s="8" t="s">
        <v>24</v>
      </c>
      <c r="F19" s="16" t="s">
        <v>25</v>
      </c>
      <c r="G19" s="8" t="s">
        <v>33</v>
      </c>
      <c r="H19" s="8">
        <v>2</v>
      </c>
      <c r="I19" s="8">
        <v>1</v>
      </c>
      <c r="J19" s="8">
        <v>2</v>
      </c>
      <c r="K19" s="8">
        <v>16</v>
      </c>
      <c r="L19" s="9">
        <f t="shared" si="0"/>
        <v>1070.1000000000001</v>
      </c>
      <c r="M19" s="13">
        <f>894.1+0.1+0.2</f>
        <v>894.40000000000009</v>
      </c>
      <c r="N19" s="16">
        <f>494.1+0.2+0.3</f>
        <v>494.6</v>
      </c>
      <c r="O19" s="14"/>
      <c r="P19" s="14"/>
      <c r="Q19" s="14"/>
      <c r="R19" s="15">
        <v>69.400000000000006</v>
      </c>
      <c r="S19" s="6">
        <v>106.3</v>
      </c>
      <c r="T19" s="12">
        <f t="shared" si="1"/>
        <v>175.7</v>
      </c>
    </row>
    <row r="20" spans="1:20">
      <c r="A20" s="5">
        <v>10</v>
      </c>
      <c r="B20" s="6">
        <v>1984</v>
      </c>
      <c r="C20" s="7" t="s">
        <v>35</v>
      </c>
      <c r="D20" s="16">
        <v>11</v>
      </c>
      <c r="E20" s="8" t="s">
        <v>24</v>
      </c>
      <c r="F20" s="16" t="s">
        <v>25</v>
      </c>
      <c r="G20" s="8" t="s">
        <v>33</v>
      </c>
      <c r="H20" s="8">
        <v>2</v>
      </c>
      <c r="I20" s="8">
        <v>1</v>
      </c>
      <c r="J20" s="16">
        <v>1</v>
      </c>
      <c r="K20" s="8">
        <v>8</v>
      </c>
      <c r="L20" s="9">
        <f t="shared" si="0"/>
        <v>539</v>
      </c>
      <c r="M20" s="13">
        <f>454.9-1.1-1.9</f>
        <v>451.9</v>
      </c>
      <c r="N20" s="8">
        <f>255.7-1</f>
        <v>254.7</v>
      </c>
      <c r="O20" s="14"/>
      <c r="P20" s="14"/>
      <c r="Q20" s="14"/>
      <c r="R20" s="6">
        <v>36.6</v>
      </c>
      <c r="S20" s="6">
        <v>50.5</v>
      </c>
      <c r="T20" s="12">
        <f t="shared" si="1"/>
        <v>87.1</v>
      </c>
    </row>
    <row r="21" spans="1:20">
      <c r="A21" s="5">
        <v>11</v>
      </c>
      <c r="B21" s="6">
        <v>2007</v>
      </c>
      <c r="C21" s="7" t="s">
        <v>35</v>
      </c>
      <c r="D21" s="16" t="s">
        <v>29</v>
      </c>
      <c r="E21" s="8" t="s">
        <v>19</v>
      </c>
      <c r="F21" s="17" t="s">
        <v>20</v>
      </c>
      <c r="G21" s="8">
        <v>12</v>
      </c>
      <c r="H21" s="8">
        <v>3</v>
      </c>
      <c r="I21" s="8">
        <v>1</v>
      </c>
      <c r="J21" s="8">
        <v>2</v>
      </c>
      <c r="K21" s="8">
        <v>24</v>
      </c>
      <c r="L21" s="9">
        <f t="shared" si="0"/>
        <v>1321.6999999999998</v>
      </c>
      <c r="M21" s="13">
        <v>1185.5999999999999</v>
      </c>
      <c r="N21" s="8">
        <v>612.9</v>
      </c>
      <c r="O21" s="14"/>
      <c r="P21" s="14"/>
      <c r="Q21" s="14"/>
      <c r="R21" s="6">
        <v>136.1</v>
      </c>
      <c r="S21" s="6"/>
      <c r="T21" s="12">
        <f t="shared" si="1"/>
        <v>136.1</v>
      </c>
    </row>
    <row r="22" spans="1:20">
      <c r="A22" s="5">
        <v>12</v>
      </c>
      <c r="B22" s="6">
        <v>2007</v>
      </c>
      <c r="C22" s="7" t="s">
        <v>35</v>
      </c>
      <c r="D22" s="16" t="s">
        <v>36</v>
      </c>
      <c r="E22" s="8" t="s">
        <v>19</v>
      </c>
      <c r="F22" s="17" t="s">
        <v>20</v>
      </c>
      <c r="G22" s="8">
        <v>12</v>
      </c>
      <c r="H22" s="8">
        <v>3</v>
      </c>
      <c r="I22" s="8">
        <v>1</v>
      </c>
      <c r="J22" s="8">
        <v>2</v>
      </c>
      <c r="K22" s="8">
        <v>24</v>
      </c>
      <c r="L22" s="9">
        <f t="shared" si="0"/>
        <v>1329.5</v>
      </c>
      <c r="M22" s="13">
        <v>1192.4000000000001</v>
      </c>
      <c r="N22" s="8">
        <v>619.1</v>
      </c>
      <c r="O22" s="14"/>
      <c r="P22" s="14"/>
      <c r="Q22" s="14"/>
      <c r="R22" s="6">
        <v>137.1</v>
      </c>
      <c r="S22" s="6"/>
      <c r="T22" s="12">
        <f t="shared" si="1"/>
        <v>137.1</v>
      </c>
    </row>
    <row r="23" spans="1:20">
      <c r="A23" s="5">
        <v>13</v>
      </c>
      <c r="B23" s="6">
        <v>1984</v>
      </c>
      <c r="C23" s="7" t="s">
        <v>37</v>
      </c>
      <c r="D23" s="16">
        <v>20</v>
      </c>
      <c r="E23" s="8" t="s">
        <v>24</v>
      </c>
      <c r="F23" s="16" t="s">
        <v>25</v>
      </c>
      <c r="G23" s="8" t="s">
        <v>33</v>
      </c>
      <c r="H23" s="8">
        <v>2</v>
      </c>
      <c r="I23" s="8">
        <v>1</v>
      </c>
      <c r="J23" s="8">
        <v>2</v>
      </c>
      <c r="K23" s="8">
        <v>18</v>
      </c>
      <c r="L23" s="9">
        <f t="shared" si="0"/>
        <v>962.3</v>
      </c>
      <c r="M23" s="10">
        <f>866.3-0.3</f>
        <v>866</v>
      </c>
      <c r="N23" s="8">
        <v>535.4</v>
      </c>
      <c r="O23" s="14"/>
      <c r="P23" s="14"/>
      <c r="Q23" s="14"/>
      <c r="R23" s="6">
        <v>86.8</v>
      </c>
      <c r="S23" s="6">
        <v>9.5</v>
      </c>
      <c r="T23" s="12">
        <f t="shared" si="1"/>
        <v>96.3</v>
      </c>
    </row>
    <row r="24" spans="1:20">
      <c r="A24" s="5">
        <v>14</v>
      </c>
      <c r="B24" s="6">
        <v>1982</v>
      </c>
      <c r="C24" s="7" t="s">
        <v>37</v>
      </c>
      <c r="D24" s="16" t="s">
        <v>38</v>
      </c>
      <c r="E24" s="8" t="s">
        <v>24</v>
      </c>
      <c r="F24" s="16" t="s">
        <v>25</v>
      </c>
      <c r="G24" s="8">
        <v>14</v>
      </c>
      <c r="H24" s="8">
        <v>2</v>
      </c>
      <c r="I24" s="8">
        <v>1</v>
      </c>
      <c r="J24" s="8">
        <v>1</v>
      </c>
      <c r="K24" s="8">
        <v>6</v>
      </c>
      <c r="L24" s="9">
        <f t="shared" si="0"/>
        <v>321.90000000000003</v>
      </c>
      <c r="M24" s="10">
        <v>289.60000000000002</v>
      </c>
      <c r="N24" s="8">
        <v>179.8</v>
      </c>
      <c r="O24" s="14"/>
      <c r="P24" s="14"/>
      <c r="Q24" s="14"/>
      <c r="R24" s="6">
        <v>29.1</v>
      </c>
      <c r="S24" s="6">
        <v>3.2</v>
      </c>
      <c r="T24" s="12">
        <f t="shared" si="1"/>
        <v>32.300000000000004</v>
      </c>
    </row>
    <row r="25" spans="1:20">
      <c r="A25" s="5">
        <v>15</v>
      </c>
      <c r="B25" s="6">
        <v>1989</v>
      </c>
      <c r="C25" s="7" t="s">
        <v>37</v>
      </c>
      <c r="D25" s="15" t="s">
        <v>39</v>
      </c>
      <c r="E25" s="8" t="s">
        <v>24</v>
      </c>
      <c r="F25" s="16" t="s">
        <v>25</v>
      </c>
      <c r="G25" s="8">
        <v>14</v>
      </c>
      <c r="H25" s="8">
        <v>2</v>
      </c>
      <c r="I25" s="8">
        <v>1</v>
      </c>
      <c r="J25" s="8">
        <v>2</v>
      </c>
      <c r="K25" s="8">
        <v>16</v>
      </c>
      <c r="L25" s="9">
        <f t="shared" si="0"/>
        <v>1064.8</v>
      </c>
      <c r="M25" s="10">
        <f>892.4-0.4</f>
        <v>892</v>
      </c>
      <c r="N25" s="8">
        <f>505.7-0.2</f>
        <v>505.5</v>
      </c>
      <c r="O25" s="14"/>
      <c r="P25" s="14"/>
      <c r="Q25" s="14"/>
      <c r="R25" s="8">
        <v>68.8</v>
      </c>
      <c r="S25" s="8">
        <v>104</v>
      </c>
      <c r="T25" s="12">
        <f t="shared" si="1"/>
        <v>172.8</v>
      </c>
    </row>
    <row r="26" spans="1:20">
      <c r="A26" s="5">
        <v>16</v>
      </c>
      <c r="B26" s="6">
        <v>1983</v>
      </c>
      <c r="C26" s="7" t="s">
        <v>37</v>
      </c>
      <c r="D26" s="16" t="s">
        <v>40</v>
      </c>
      <c r="E26" s="8" t="s">
        <v>24</v>
      </c>
      <c r="F26" s="16" t="s">
        <v>25</v>
      </c>
      <c r="G26" s="8" t="s">
        <v>33</v>
      </c>
      <c r="H26" s="8">
        <v>2</v>
      </c>
      <c r="I26" s="8">
        <v>1</v>
      </c>
      <c r="J26" s="8">
        <v>2</v>
      </c>
      <c r="K26" s="8">
        <v>16</v>
      </c>
      <c r="L26" s="9">
        <f t="shared" si="0"/>
        <v>1073.3999999999999</v>
      </c>
      <c r="M26" s="13">
        <v>896.8</v>
      </c>
      <c r="N26" s="8">
        <v>496.7</v>
      </c>
      <c r="O26" s="14"/>
      <c r="P26" s="14"/>
      <c r="Q26" s="14"/>
      <c r="R26" s="6">
        <f>17.4+17.4+17.5+17.5</f>
        <v>69.8</v>
      </c>
      <c r="S26" s="6">
        <f>176.6-R26</f>
        <v>106.8</v>
      </c>
      <c r="T26" s="12">
        <f t="shared" si="1"/>
        <v>176.6</v>
      </c>
    </row>
    <row r="27" spans="1:20">
      <c r="A27" s="5">
        <v>17</v>
      </c>
      <c r="B27" s="6">
        <v>1984</v>
      </c>
      <c r="C27" s="7" t="s">
        <v>37</v>
      </c>
      <c r="D27" s="16" t="s">
        <v>41</v>
      </c>
      <c r="E27" s="8" t="s">
        <v>24</v>
      </c>
      <c r="F27" s="16" t="s">
        <v>25</v>
      </c>
      <c r="G27" s="8" t="s">
        <v>33</v>
      </c>
      <c r="H27" s="8">
        <v>2</v>
      </c>
      <c r="I27" s="8">
        <v>1</v>
      </c>
      <c r="J27" s="8">
        <v>2</v>
      </c>
      <c r="K27" s="8">
        <v>16</v>
      </c>
      <c r="L27" s="9">
        <f t="shared" si="0"/>
        <v>1066.8</v>
      </c>
      <c r="M27" s="10">
        <f>893-0.5</f>
        <v>892.5</v>
      </c>
      <c r="N27" s="8">
        <f>496.2+0.7</f>
        <v>496.9</v>
      </c>
      <c r="O27" s="14"/>
      <c r="P27" s="14"/>
      <c r="Q27" s="14"/>
      <c r="R27" s="6">
        <v>69.7</v>
      </c>
      <c r="S27" s="6">
        <f>174.3-69.7</f>
        <v>104.60000000000001</v>
      </c>
      <c r="T27" s="12">
        <f t="shared" si="1"/>
        <v>174.3</v>
      </c>
    </row>
    <row r="28" spans="1:20">
      <c r="A28" s="5">
        <v>18</v>
      </c>
      <c r="B28" s="6">
        <v>1980</v>
      </c>
      <c r="C28" s="7" t="s">
        <v>42</v>
      </c>
      <c r="D28" s="16">
        <v>4</v>
      </c>
      <c r="E28" s="8" t="s">
        <v>24</v>
      </c>
      <c r="F28" s="16" t="s">
        <v>28</v>
      </c>
      <c r="G28" s="8">
        <v>15</v>
      </c>
      <c r="H28" s="8">
        <v>2</v>
      </c>
      <c r="I28" s="8">
        <v>1</v>
      </c>
      <c r="J28" s="8">
        <v>3</v>
      </c>
      <c r="K28" s="8">
        <v>12</v>
      </c>
      <c r="L28" s="9">
        <f t="shared" si="0"/>
        <v>823.30000000000007</v>
      </c>
      <c r="M28" s="18">
        <f>732.7+5.8+3.6+1-1</f>
        <v>742.1</v>
      </c>
      <c r="N28" s="9">
        <f>390.3+1.9+2.5+4.2+1.1</f>
        <v>400</v>
      </c>
      <c r="O28" s="19"/>
      <c r="P28" s="19"/>
      <c r="Q28" s="19"/>
      <c r="R28" s="19">
        <v>39</v>
      </c>
      <c r="S28" s="20">
        <v>42.2</v>
      </c>
      <c r="T28" s="12">
        <f t="shared" si="1"/>
        <v>81.2</v>
      </c>
    </row>
    <row r="29" spans="1:20">
      <c r="A29" s="5">
        <v>19</v>
      </c>
      <c r="B29" s="6">
        <v>1984</v>
      </c>
      <c r="C29" s="7" t="s">
        <v>43</v>
      </c>
      <c r="D29" s="16" t="s">
        <v>44</v>
      </c>
      <c r="E29" s="8" t="s">
        <v>24</v>
      </c>
      <c r="F29" s="16" t="s">
        <v>25</v>
      </c>
      <c r="G29" s="8" t="s">
        <v>33</v>
      </c>
      <c r="H29" s="8">
        <v>2</v>
      </c>
      <c r="I29" s="8">
        <v>1</v>
      </c>
      <c r="J29" s="8">
        <v>2</v>
      </c>
      <c r="K29" s="8">
        <v>16</v>
      </c>
      <c r="L29" s="9">
        <f t="shared" si="0"/>
        <v>1058.1000000000001</v>
      </c>
      <c r="M29" s="13">
        <v>883.6</v>
      </c>
      <c r="N29" s="8">
        <v>499.1</v>
      </c>
      <c r="O29" s="14"/>
      <c r="P29" s="14"/>
      <c r="Q29" s="14"/>
      <c r="R29" s="15">
        <v>68.7</v>
      </c>
      <c r="S29" s="15">
        <v>105.8</v>
      </c>
      <c r="T29" s="12">
        <f t="shared" si="1"/>
        <v>174.5</v>
      </c>
    </row>
    <row r="30" spans="1:20">
      <c r="A30" s="5">
        <v>20</v>
      </c>
      <c r="B30" s="6">
        <v>1981</v>
      </c>
      <c r="C30" s="7" t="s">
        <v>45</v>
      </c>
      <c r="D30" s="16">
        <v>3</v>
      </c>
      <c r="E30" s="8" t="s">
        <v>24</v>
      </c>
      <c r="F30" s="16" t="s">
        <v>28</v>
      </c>
      <c r="G30" s="8">
        <v>15</v>
      </c>
      <c r="H30" s="8">
        <v>2</v>
      </c>
      <c r="I30" s="8">
        <v>1</v>
      </c>
      <c r="J30" s="8">
        <v>3</v>
      </c>
      <c r="K30" s="8">
        <v>12</v>
      </c>
      <c r="L30" s="9">
        <f t="shared" si="0"/>
        <v>819.1</v>
      </c>
      <c r="M30" s="10">
        <f>738.8+6.9-8.4-0.3</f>
        <v>737</v>
      </c>
      <c r="N30" s="19">
        <f>411.7-0.4-19.7-0.3</f>
        <v>391.3</v>
      </c>
      <c r="O30" s="14"/>
      <c r="P30" s="14"/>
      <c r="Q30" s="14"/>
      <c r="R30" s="6">
        <v>77.900000000000006</v>
      </c>
      <c r="S30" s="6">
        <v>4.2</v>
      </c>
      <c r="T30" s="12">
        <f t="shared" si="1"/>
        <v>82.100000000000009</v>
      </c>
    </row>
    <row r="31" spans="1:20">
      <c r="A31" s="5">
        <v>21</v>
      </c>
      <c r="B31" s="6">
        <v>1986</v>
      </c>
      <c r="C31" s="7" t="s">
        <v>45</v>
      </c>
      <c r="D31" s="15">
        <v>15</v>
      </c>
      <c r="E31" s="8" t="s">
        <v>24</v>
      </c>
      <c r="F31" s="16" t="s">
        <v>25</v>
      </c>
      <c r="G31" s="8">
        <v>14</v>
      </c>
      <c r="H31" s="8">
        <v>2</v>
      </c>
      <c r="I31" s="8">
        <v>1</v>
      </c>
      <c r="J31" s="8">
        <v>2</v>
      </c>
      <c r="K31" s="8">
        <v>16</v>
      </c>
      <c r="L31" s="9">
        <f t="shared" si="0"/>
        <v>1057.0999999999999</v>
      </c>
      <c r="M31" s="13">
        <f>890.3-0.6</f>
        <v>889.69999999999993</v>
      </c>
      <c r="N31" s="8">
        <v>478.4</v>
      </c>
      <c r="O31" s="14"/>
      <c r="P31" s="14"/>
      <c r="Q31" s="14"/>
      <c r="R31" s="8">
        <v>68.7</v>
      </c>
      <c r="S31" s="8">
        <v>98.7</v>
      </c>
      <c r="T31" s="12">
        <f t="shared" si="1"/>
        <v>167.4</v>
      </c>
    </row>
    <row r="32" spans="1:20">
      <c r="A32" s="5">
        <v>22</v>
      </c>
      <c r="B32" s="6">
        <v>1982</v>
      </c>
      <c r="C32" s="7" t="s">
        <v>46</v>
      </c>
      <c r="D32" s="16">
        <v>3</v>
      </c>
      <c r="E32" s="8" t="s">
        <v>19</v>
      </c>
      <c r="F32" s="16" t="s">
        <v>28</v>
      </c>
      <c r="G32" s="21" t="s">
        <v>29</v>
      </c>
      <c r="H32" s="8">
        <v>2</v>
      </c>
      <c r="I32" s="8">
        <v>1</v>
      </c>
      <c r="J32" s="8">
        <v>3</v>
      </c>
      <c r="K32" s="6">
        <v>18</v>
      </c>
      <c r="L32" s="9">
        <f t="shared" si="0"/>
        <v>819.10000000000014</v>
      </c>
      <c r="M32" s="10">
        <f>724.6+0.2+4.2</f>
        <v>729.00000000000011</v>
      </c>
      <c r="N32" s="8">
        <f>385.2+0.9+2.8</f>
        <v>388.9</v>
      </c>
      <c r="O32" s="11"/>
      <c r="P32" s="11"/>
      <c r="Q32" s="6"/>
      <c r="R32" s="6">
        <v>86.1</v>
      </c>
      <c r="S32" s="6">
        <v>4</v>
      </c>
      <c r="T32" s="12">
        <f t="shared" si="1"/>
        <v>90.1</v>
      </c>
    </row>
    <row r="33" spans="1:20">
      <c r="A33" s="5">
        <v>23</v>
      </c>
      <c r="B33" s="6">
        <v>1984</v>
      </c>
      <c r="C33" s="7" t="s">
        <v>47</v>
      </c>
      <c r="D33" s="16" t="s">
        <v>48</v>
      </c>
      <c r="E33" s="8" t="s">
        <v>24</v>
      </c>
      <c r="F33" s="16" t="s">
        <v>25</v>
      </c>
      <c r="G33" s="8">
        <v>14</v>
      </c>
      <c r="H33" s="8">
        <v>2</v>
      </c>
      <c r="I33" s="8">
        <v>1</v>
      </c>
      <c r="J33" s="8">
        <v>3</v>
      </c>
      <c r="K33" s="8">
        <v>24</v>
      </c>
      <c r="L33" s="9">
        <f t="shared" si="0"/>
        <v>1262.8</v>
      </c>
      <c r="M33" s="18">
        <f>1143-1.3+0.3</f>
        <v>1142</v>
      </c>
      <c r="N33" s="9">
        <f>568.7-0.6</f>
        <v>568.1</v>
      </c>
      <c r="O33" s="22"/>
      <c r="P33" s="22"/>
      <c r="Q33" s="22"/>
      <c r="R33" s="23">
        <v>21.6</v>
      </c>
      <c r="S33" s="23">
        <v>99.2</v>
      </c>
      <c r="T33" s="12">
        <f t="shared" si="1"/>
        <v>120.80000000000001</v>
      </c>
    </row>
    <row r="34" spans="1:20">
      <c r="A34" s="5">
        <v>24</v>
      </c>
      <c r="B34" s="6">
        <v>1986</v>
      </c>
      <c r="C34" s="7" t="s">
        <v>37</v>
      </c>
      <c r="D34" s="16" t="s">
        <v>49</v>
      </c>
      <c r="E34" s="8" t="s">
        <v>24</v>
      </c>
      <c r="F34" s="16" t="s">
        <v>25</v>
      </c>
      <c r="G34" s="8">
        <v>14</v>
      </c>
      <c r="H34" s="8">
        <v>2</v>
      </c>
      <c r="I34" s="8">
        <v>1</v>
      </c>
      <c r="J34" s="8">
        <v>2</v>
      </c>
      <c r="K34" s="8">
        <v>16</v>
      </c>
      <c r="L34" s="9">
        <f t="shared" si="0"/>
        <v>879.49999999999989</v>
      </c>
      <c r="M34" s="13">
        <f>772.4-0.7</f>
        <v>771.69999999999993</v>
      </c>
      <c r="N34" s="16">
        <f>405.7-0.2</f>
        <v>405.5</v>
      </c>
      <c r="O34" s="11"/>
      <c r="P34" s="11"/>
      <c r="Q34" s="11"/>
      <c r="R34" s="6">
        <v>37.799999999999997</v>
      </c>
      <c r="S34" s="6">
        <v>70</v>
      </c>
      <c r="T34" s="12">
        <f t="shared" si="1"/>
        <v>107.8</v>
      </c>
    </row>
    <row r="35" spans="1:20">
      <c r="A35" s="5">
        <v>25</v>
      </c>
      <c r="B35" s="6">
        <v>1983</v>
      </c>
      <c r="C35" s="7" t="s">
        <v>37</v>
      </c>
      <c r="D35" s="16">
        <v>8</v>
      </c>
      <c r="E35" s="8" t="s">
        <v>24</v>
      </c>
      <c r="F35" s="16" t="s">
        <v>28</v>
      </c>
      <c r="G35" s="8" t="s">
        <v>29</v>
      </c>
      <c r="H35" s="8">
        <v>2</v>
      </c>
      <c r="I35" s="8">
        <v>1</v>
      </c>
      <c r="J35" s="8">
        <v>2</v>
      </c>
      <c r="K35" s="8">
        <v>12</v>
      </c>
      <c r="L35" s="9">
        <f t="shared" si="0"/>
        <v>542.19999999999993</v>
      </c>
      <c r="M35" s="13">
        <v>484.2</v>
      </c>
      <c r="N35" s="8">
        <v>263.7</v>
      </c>
      <c r="O35" s="11"/>
      <c r="P35" s="11"/>
      <c r="Q35" s="11"/>
      <c r="R35" s="6">
        <v>28.2</v>
      </c>
      <c r="S35" s="6">
        <v>29.8</v>
      </c>
      <c r="T35" s="12">
        <f t="shared" si="1"/>
        <v>58</v>
      </c>
    </row>
    <row r="36" spans="1:20">
      <c r="A36" s="5">
        <v>26</v>
      </c>
      <c r="B36" s="6">
        <v>1980</v>
      </c>
      <c r="C36" s="7" t="s">
        <v>37</v>
      </c>
      <c r="D36" s="16">
        <v>10</v>
      </c>
      <c r="E36" s="8" t="s">
        <v>24</v>
      </c>
      <c r="F36" s="8" t="s">
        <v>28</v>
      </c>
      <c r="G36" s="8" t="s">
        <v>29</v>
      </c>
      <c r="H36" s="8">
        <v>2</v>
      </c>
      <c r="I36" s="8">
        <v>1</v>
      </c>
      <c r="J36" s="8">
        <v>3</v>
      </c>
      <c r="K36" s="8">
        <v>12</v>
      </c>
      <c r="L36" s="9">
        <f t="shared" si="0"/>
        <v>829.8</v>
      </c>
      <c r="M36" s="13">
        <v>739.3</v>
      </c>
      <c r="N36" s="8">
        <v>389.7</v>
      </c>
      <c r="O36" s="11"/>
      <c r="P36" s="11"/>
      <c r="Q36" s="11"/>
      <c r="R36" s="6">
        <v>44</v>
      </c>
      <c r="S36" s="6">
        <v>46.5</v>
      </c>
      <c r="T36" s="12">
        <f t="shared" si="1"/>
        <v>90.5</v>
      </c>
    </row>
    <row r="37" spans="1:20">
      <c r="A37" s="5">
        <v>27</v>
      </c>
      <c r="B37" s="6">
        <v>1985</v>
      </c>
      <c r="C37" s="7" t="s">
        <v>42</v>
      </c>
      <c r="D37" s="16">
        <v>5</v>
      </c>
      <c r="E37" s="8" t="s">
        <v>24</v>
      </c>
      <c r="F37" s="8" t="s">
        <v>25</v>
      </c>
      <c r="G37" s="8" t="s">
        <v>66</v>
      </c>
      <c r="H37" s="8">
        <v>2</v>
      </c>
      <c r="I37" s="8">
        <v>1</v>
      </c>
      <c r="J37" s="8">
        <v>2</v>
      </c>
      <c r="K37" s="8">
        <v>16</v>
      </c>
      <c r="L37" s="9">
        <f t="shared" si="0"/>
        <v>1074</v>
      </c>
      <c r="M37" s="13">
        <f>900.9-1.4</f>
        <v>899.5</v>
      </c>
      <c r="N37" s="8">
        <f>482-0.1</f>
        <v>481.9</v>
      </c>
      <c r="O37" s="11"/>
      <c r="P37" s="11"/>
      <c r="Q37" s="11"/>
      <c r="R37" s="6">
        <v>69.3</v>
      </c>
      <c r="S37" s="6">
        <v>105.2</v>
      </c>
      <c r="T37" s="12">
        <f t="shared" si="1"/>
        <v>174.5</v>
      </c>
    </row>
    <row r="38" spans="1:20">
      <c r="A38" s="5">
        <v>28</v>
      </c>
      <c r="B38" s="6">
        <v>1985</v>
      </c>
      <c r="C38" s="7" t="s">
        <v>42</v>
      </c>
      <c r="D38" s="16" t="s">
        <v>50</v>
      </c>
      <c r="E38" s="8" t="s">
        <v>24</v>
      </c>
      <c r="F38" s="8" t="s">
        <v>28</v>
      </c>
      <c r="G38" s="8" t="s">
        <v>29</v>
      </c>
      <c r="H38" s="8">
        <v>2</v>
      </c>
      <c r="I38" s="8">
        <v>1</v>
      </c>
      <c r="J38" s="8">
        <v>2</v>
      </c>
      <c r="K38" s="8">
        <v>12</v>
      </c>
      <c r="L38" s="9">
        <f t="shared" si="0"/>
        <v>556.49999999999989</v>
      </c>
      <c r="M38" s="13">
        <f>499.9+0.2</f>
        <v>500.09999999999997</v>
      </c>
      <c r="N38" s="8">
        <f>277.9+0.3</f>
        <v>278.2</v>
      </c>
      <c r="O38" s="11"/>
      <c r="P38" s="11"/>
      <c r="Q38" s="11"/>
      <c r="R38" s="6">
        <v>54</v>
      </c>
      <c r="S38" s="6">
        <v>2.4</v>
      </c>
      <c r="T38" s="12">
        <f t="shared" si="1"/>
        <v>56.4</v>
      </c>
    </row>
    <row r="39" spans="1:20">
      <c r="A39" s="5">
        <v>29</v>
      </c>
      <c r="B39" s="6">
        <v>1987</v>
      </c>
      <c r="C39" s="7" t="s">
        <v>47</v>
      </c>
      <c r="D39" s="16" t="s">
        <v>27</v>
      </c>
      <c r="E39" s="8" t="s">
        <v>24</v>
      </c>
      <c r="F39" s="8" t="s">
        <v>25</v>
      </c>
      <c r="G39" s="8">
        <v>14</v>
      </c>
      <c r="H39" s="8">
        <v>2</v>
      </c>
      <c r="I39" s="8">
        <v>1</v>
      </c>
      <c r="J39" s="8">
        <v>2</v>
      </c>
      <c r="K39" s="8">
        <v>16</v>
      </c>
      <c r="L39" s="9">
        <f t="shared" si="0"/>
        <v>1071.1600000000001</v>
      </c>
      <c r="M39" s="13">
        <f>896.6-0.5</f>
        <v>896.1</v>
      </c>
      <c r="N39" s="8">
        <f>486.7-0.2</f>
        <v>486.5</v>
      </c>
      <c r="O39" s="11"/>
      <c r="P39" s="11"/>
      <c r="Q39" s="11"/>
      <c r="R39" s="6">
        <v>69.8</v>
      </c>
      <c r="S39" s="24">
        <v>105.26</v>
      </c>
      <c r="T39" s="24">
        <f t="shared" si="1"/>
        <v>175.06</v>
      </c>
    </row>
    <row r="40" spans="1:20">
      <c r="A40" s="5">
        <v>30</v>
      </c>
      <c r="B40" s="6">
        <v>1987</v>
      </c>
      <c r="C40" s="7" t="s">
        <v>47</v>
      </c>
      <c r="D40" s="16" t="s">
        <v>51</v>
      </c>
      <c r="E40" s="8" t="s">
        <v>24</v>
      </c>
      <c r="F40" s="8" t="s">
        <v>25</v>
      </c>
      <c r="G40" s="8" t="s">
        <v>33</v>
      </c>
      <c r="H40" s="8">
        <v>2</v>
      </c>
      <c r="I40" s="8">
        <v>1</v>
      </c>
      <c r="J40" s="8">
        <v>2</v>
      </c>
      <c r="K40" s="8">
        <v>16</v>
      </c>
      <c r="L40" s="9">
        <f t="shared" si="0"/>
        <v>862.3</v>
      </c>
      <c r="M40" s="13">
        <f>773.5+0.1</f>
        <v>773.6</v>
      </c>
      <c r="N40" s="8">
        <v>407.1</v>
      </c>
      <c r="O40" s="11"/>
      <c r="P40" s="11"/>
      <c r="Q40" s="11"/>
      <c r="R40" s="6">
        <v>32.299999999999997</v>
      </c>
      <c r="S40" s="6">
        <v>56.4</v>
      </c>
      <c r="T40" s="12">
        <f t="shared" si="1"/>
        <v>88.699999999999989</v>
      </c>
    </row>
    <row r="41" spans="1:20">
      <c r="A41" s="5">
        <v>31</v>
      </c>
      <c r="B41" s="6">
        <v>1987</v>
      </c>
      <c r="C41" s="7" t="s">
        <v>52</v>
      </c>
      <c r="D41" s="16">
        <v>201</v>
      </c>
      <c r="E41" s="8" t="s">
        <v>24</v>
      </c>
      <c r="F41" s="8" t="s">
        <v>28</v>
      </c>
      <c r="G41" s="8" t="s">
        <v>53</v>
      </c>
      <c r="H41" s="8">
        <v>1</v>
      </c>
      <c r="I41" s="8">
        <v>1</v>
      </c>
      <c r="J41" s="8">
        <v>2</v>
      </c>
      <c r="K41" s="8">
        <v>10</v>
      </c>
      <c r="L41" s="9">
        <f t="shared" si="0"/>
        <v>349.90000000000003</v>
      </c>
      <c r="M41" s="13">
        <f>301.3-1</f>
        <v>300.3</v>
      </c>
      <c r="N41" s="8">
        <v>162.69999999999999</v>
      </c>
      <c r="O41" s="11"/>
      <c r="P41" s="11"/>
      <c r="Q41" s="11"/>
      <c r="R41" s="6"/>
      <c r="S41" s="6">
        <v>49.6</v>
      </c>
      <c r="T41" s="12">
        <f t="shared" si="1"/>
        <v>49.6</v>
      </c>
    </row>
    <row r="42" spans="1:20">
      <c r="A42" s="5">
        <v>32</v>
      </c>
      <c r="B42" s="6">
        <v>1987</v>
      </c>
      <c r="C42" s="7" t="s">
        <v>52</v>
      </c>
      <c r="D42" s="16">
        <v>202</v>
      </c>
      <c r="E42" s="8" t="s">
        <v>24</v>
      </c>
      <c r="F42" s="8" t="s">
        <v>28</v>
      </c>
      <c r="G42" s="8">
        <v>16</v>
      </c>
      <c r="H42" s="8">
        <v>1</v>
      </c>
      <c r="I42" s="8">
        <v>1</v>
      </c>
      <c r="J42" s="8">
        <v>2</v>
      </c>
      <c r="K42" s="8">
        <v>8</v>
      </c>
      <c r="L42" s="9">
        <f t="shared" si="0"/>
        <v>353.7</v>
      </c>
      <c r="M42" s="13">
        <v>312.7</v>
      </c>
      <c r="N42" s="8">
        <v>161.9</v>
      </c>
      <c r="O42" s="11"/>
      <c r="P42" s="11"/>
      <c r="Q42" s="11"/>
      <c r="R42" s="6"/>
      <c r="S42" s="6">
        <v>41</v>
      </c>
      <c r="T42" s="12">
        <f t="shared" si="1"/>
        <v>41</v>
      </c>
    </row>
    <row r="43" spans="1:20">
      <c r="A43" s="5">
        <v>33</v>
      </c>
      <c r="B43" s="6">
        <v>1987</v>
      </c>
      <c r="C43" s="7" t="s">
        <v>52</v>
      </c>
      <c r="D43" s="16">
        <v>203</v>
      </c>
      <c r="E43" s="8" t="s">
        <v>24</v>
      </c>
      <c r="F43" s="8" t="s">
        <v>25</v>
      </c>
      <c r="G43" s="8">
        <v>16</v>
      </c>
      <c r="H43" s="8">
        <v>1</v>
      </c>
      <c r="I43" s="8">
        <v>1</v>
      </c>
      <c r="J43" s="8">
        <v>2</v>
      </c>
      <c r="K43" s="8">
        <v>8</v>
      </c>
      <c r="L43" s="9">
        <f t="shared" si="0"/>
        <v>369.40000000000003</v>
      </c>
      <c r="M43" s="13">
        <v>330.3</v>
      </c>
      <c r="N43" s="8">
        <v>175</v>
      </c>
      <c r="O43" s="11"/>
      <c r="P43" s="11"/>
      <c r="Q43" s="11"/>
      <c r="R43" s="6"/>
      <c r="S43" s="6">
        <v>39.1</v>
      </c>
      <c r="T43" s="12">
        <f t="shared" si="1"/>
        <v>39.1</v>
      </c>
    </row>
    <row r="44" spans="1:20">
      <c r="A44" s="5">
        <v>34</v>
      </c>
      <c r="B44" s="6">
        <v>1987</v>
      </c>
      <c r="C44" s="7" t="s">
        <v>52</v>
      </c>
      <c r="D44" s="16">
        <v>204</v>
      </c>
      <c r="E44" s="8" t="s">
        <v>24</v>
      </c>
      <c r="F44" s="8" t="s">
        <v>28</v>
      </c>
      <c r="G44" s="8">
        <v>16</v>
      </c>
      <c r="H44" s="8">
        <v>1</v>
      </c>
      <c r="I44" s="8">
        <v>1</v>
      </c>
      <c r="J44" s="8">
        <v>2</v>
      </c>
      <c r="K44" s="8">
        <v>10</v>
      </c>
      <c r="L44" s="9">
        <f t="shared" si="0"/>
        <v>356.90000000000003</v>
      </c>
      <c r="M44" s="13">
        <f>307.6-0.3</f>
        <v>307.3</v>
      </c>
      <c r="N44" s="8">
        <f>156.8-0.2</f>
        <v>156.60000000000002</v>
      </c>
      <c r="O44" s="11"/>
      <c r="P44" s="11"/>
      <c r="Q44" s="11"/>
      <c r="R44" s="6"/>
      <c r="S44" s="6">
        <v>49.6</v>
      </c>
      <c r="T44" s="12">
        <f t="shared" si="1"/>
        <v>49.6</v>
      </c>
    </row>
    <row r="45" spans="1:20">
      <c r="A45" s="5">
        <v>35</v>
      </c>
      <c r="B45" s="6">
        <v>1987</v>
      </c>
      <c r="C45" s="7" t="s">
        <v>52</v>
      </c>
      <c r="D45" s="16">
        <v>205</v>
      </c>
      <c r="E45" s="8" t="s">
        <v>24</v>
      </c>
      <c r="F45" s="8" t="s">
        <v>28</v>
      </c>
      <c r="G45" s="8">
        <v>16</v>
      </c>
      <c r="H45" s="8">
        <v>1</v>
      </c>
      <c r="I45" s="8">
        <v>1</v>
      </c>
      <c r="J45" s="8">
        <v>2</v>
      </c>
      <c r="K45" s="8">
        <v>8</v>
      </c>
      <c r="L45" s="9">
        <f t="shared" si="0"/>
        <v>363.7</v>
      </c>
      <c r="M45" s="13">
        <v>324.2</v>
      </c>
      <c r="N45" s="8">
        <v>172.1</v>
      </c>
      <c r="O45" s="11"/>
      <c r="P45" s="11"/>
      <c r="Q45" s="11"/>
      <c r="R45" s="6"/>
      <c r="S45" s="6">
        <v>39.5</v>
      </c>
      <c r="T45" s="12">
        <f t="shared" si="1"/>
        <v>39.5</v>
      </c>
    </row>
    <row r="46" spans="1:20">
      <c r="A46" s="5">
        <v>36</v>
      </c>
      <c r="B46" s="6">
        <v>1987</v>
      </c>
      <c r="C46" s="7" t="s">
        <v>52</v>
      </c>
      <c r="D46" s="16">
        <v>206</v>
      </c>
      <c r="E46" s="8" t="s">
        <v>24</v>
      </c>
      <c r="F46" s="8" t="s">
        <v>25</v>
      </c>
      <c r="G46" s="8">
        <v>16</v>
      </c>
      <c r="H46" s="8">
        <v>1</v>
      </c>
      <c r="I46" s="8">
        <v>1</v>
      </c>
      <c r="J46" s="8">
        <v>2</v>
      </c>
      <c r="K46" s="8">
        <v>8</v>
      </c>
      <c r="L46" s="9">
        <f t="shared" si="0"/>
        <v>357.70000000000005</v>
      </c>
      <c r="M46" s="13">
        <f>329.5-7.9-6.2</f>
        <v>315.40000000000003</v>
      </c>
      <c r="N46" s="8">
        <f>170.6-3.8-2.9</f>
        <v>163.89999999999998</v>
      </c>
      <c r="O46" s="11"/>
      <c r="P46" s="11" t="s">
        <v>54</v>
      </c>
      <c r="Q46" s="11"/>
      <c r="R46" s="6"/>
      <c r="S46" s="6">
        <v>42.3</v>
      </c>
      <c r="T46" s="12">
        <f t="shared" si="1"/>
        <v>42.3</v>
      </c>
    </row>
    <row r="47" spans="1:20">
      <c r="A47" s="5">
        <v>37</v>
      </c>
      <c r="B47" s="6">
        <v>1988</v>
      </c>
      <c r="C47" s="7" t="s">
        <v>52</v>
      </c>
      <c r="D47" s="16">
        <v>207</v>
      </c>
      <c r="E47" s="8" t="s">
        <v>24</v>
      </c>
      <c r="F47" s="8" t="s">
        <v>25</v>
      </c>
      <c r="G47" s="8">
        <v>16</v>
      </c>
      <c r="H47" s="8">
        <v>1</v>
      </c>
      <c r="I47" s="8">
        <v>1</v>
      </c>
      <c r="J47" s="8">
        <v>2</v>
      </c>
      <c r="K47" s="8">
        <v>8</v>
      </c>
      <c r="L47" s="9">
        <f t="shared" si="0"/>
        <v>358.90000000000003</v>
      </c>
      <c r="M47" s="13">
        <v>315.3</v>
      </c>
      <c r="N47" s="8">
        <v>165.1</v>
      </c>
      <c r="O47" s="11"/>
      <c r="P47" s="11"/>
      <c r="Q47" s="11"/>
      <c r="R47" s="6"/>
      <c r="S47" s="6">
        <v>43.6</v>
      </c>
      <c r="T47" s="12">
        <f t="shared" si="1"/>
        <v>43.6</v>
      </c>
    </row>
    <row r="48" spans="1:20">
      <c r="A48" s="5">
        <v>38</v>
      </c>
      <c r="B48" s="6">
        <v>1988</v>
      </c>
      <c r="C48" s="7" t="s">
        <v>52</v>
      </c>
      <c r="D48" s="16">
        <v>208</v>
      </c>
      <c r="E48" s="8" t="s">
        <v>24</v>
      </c>
      <c r="F48" s="8" t="s">
        <v>25</v>
      </c>
      <c r="G48" s="8">
        <v>16</v>
      </c>
      <c r="H48" s="8">
        <v>1</v>
      </c>
      <c r="I48" s="8">
        <v>1</v>
      </c>
      <c r="J48" s="8">
        <v>2</v>
      </c>
      <c r="K48" s="8">
        <v>8</v>
      </c>
      <c r="L48" s="9">
        <f t="shared" si="0"/>
        <v>358.90000000000003</v>
      </c>
      <c r="M48" s="13">
        <v>315.3</v>
      </c>
      <c r="N48" s="8">
        <v>165.1</v>
      </c>
      <c r="O48" s="11"/>
      <c r="P48" s="11"/>
      <c r="Q48" s="11"/>
      <c r="R48" s="6"/>
      <c r="S48" s="6">
        <v>43.6</v>
      </c>
      <c r="T48" s="12">
        <f t="shared" si="1"/>
        <v>43.6</v>
      </c>
    </row>
    <row r="49" spans="1:20">
      <c r="A49" s="5">
        <v>39</v>
      </c>
      <c r="B49" s="6">
        <v>1987</v>
      </c>
      <c r="C49" s="7" t="s">
        <v>52</v>
      </c>
      <c r="D49" s="16">
        <v>209</v>
      </c>
      <c r="E49" s="8" t="s">
        <v>24</v>
      </c>
      <c r="F49" s="8" t="s">
        <v>25</v>
      </c>
      <c r="G49" s="8">
        <v>16</v>
      </c>
      <c r="H49" s="8">
        <v>1</v>
      </c>
      <c r="I49" s="8">
        <v>1</v>
      </c>
      <c r="J49" s="8">
        <v>2</v>
      </c>
      <c r="K49" s="8">
        <v>8</v>
      </c>
      <c r="L49" s="9">
        <f t="shared" si="0"/>
        <v>354.7</v>
      </c>
      <c r="M49" s="13">
        <v>313.39999999999998</v>
      </c>
      <c r="N49" s="8">
        <v>165.5</v>
      </c>
      <c r="O49" s="11"/>
      <c r="P49" s="11"/>
      <c r="Q49" s="11"/>
      <c r="R49" s="6"/>
      <c r="S49" s="6">
        <v>41.3</v>
      </c>
      <c r="T49" s="12">
        <f t="shared" si="1"/>
        <v>41.3</v>
      </c>
    </row>
    <row r="50" spans="1:20">
      <c r="A50" s="5">
        <v>40</v>
      </c>
      <c r="B50" s="6">
        <v>1988</v>
      </c>
      <c r="C50" s="7" t="s">
        <v>52</v>
      </c>
      <c r="D50" s="16">
        <v>210</v>
      </c>
      <c r="E50" s="8" t="s">
        <v>24</v>
      </c>
      <c r="F50" s="8" t="s">
        <v>25</v>
      </c>
      <c r="G50" s="8">
        <v>16</v>
      </c>
      <c r="H50" s="8">
        <v>1</v>
      </c>
      <c r="I50" s="8">
        <v>1</v>
      </c>
      <c r="J50" s="8">
        <v>2</v>
      </c>
      <c r="K50" s="8">
        <v>8</v>
      </c>
      <c r="L50" s="9">
        <f t="shared" si="0"/>
        <v>369.59999999999997</v>
      </c>
      <c r="M50" s="13">
        <f>313.9-0.8-0.3</f>
        <v>312.79999999999995</v>
      </c>
      <c r="N50" s="8">
        <f>160.3+0.1-0.2</f>
        <v>160.20000000000002</v>
      </c>
      <c r="O50" s="11"/>
      <c r="P50" s="11"/>
      <c r="Q50" s="11"/>
      <c r="R50" s="6"/>
      <c r="S50" s="6">
        <v>56.8</v>
      </c>
      <c r="T50" s="12">
        <f t="shared" si="1"/>
        <v>56.8</v>
      </c>
    </row>
    <row r="51" spans="1:20">
      <c r="A51" s="5">
        <v>41</v>
      </c>
      <c r="B51" s="6">
        <v>1988</v>
      </c>
      <c r="C51" s="7" t="s">
        <v>52</v>
      </c>
      <c r="D51" s="16">
        <v>211</v>
      </c>
      <c r="E51" s="8" t="s">
        <v>24</v>
      </c>
      <c r="F51" s="8" t="s">
        <v>25</v>
      </c>
      <c r="G51" s="8">
        <v>16</v>
      </c>
      <c r="H51" s="8">
        <v>1</v>
      </c>
      <c r="I51" s="8">
        <v>1</v>
      </c>
      <c r="J51" s="8">
        <v>2</v>
      </c>
      <c r="K51" s="8">
        <v>8</v>
      </c>
      <c r="L51" s="9">
        <f t="shared" si="0"/>
        <v>358.2</v>
      </c>
      <c r="M51" s="13">
        <f>318.2-0.9</f>
        <v>317.3</v>
      </c>
      <c r="N51" s="8">
        <v>164.9</v>
      </c>
      <c r="O51" s="11"/>
      <c r="P51" s="11"/>
      <c r="Q51" s="11"/>
      <c r="R51" s="6"/>
      <c r="S51" s="6">
        <v>40.9</v>
      </c>
      <c r="T51" s="12">
        <f t="shared" si="1"/>
        <v>40.9</v>
      </c>
    </row>
    <row r="52" spans="1:20">
      <c r="A52" s="5">
        <v>42</v>
      </c>
      <c r="B52" s="6">
        <v>1988</v>
      </c>
      <c r="C52" s="7" t="s">
        <v>52</v>
      </c>
      <c r="D52" s="16">
        <v>212</v>
      </c>
      <c r="E52" s="8" t="s">
        <v>24</v>
      </c>
      <c r="F52" s="8" t="s">
        <v>25</v>
      </c>
      <c r="G52" s="8">
        <v>16</v>
      </c>
      <c r="H52" s="8">
        <v>1</v>
      </c>
      <c r="I52" s="8">
        <v>1</v>
      </c>
      <c r="J52" s="8">
        <v>2</v>
      </c>
      <c r="K52" s="8">
        <v>8</v>
      </c>
      <c r="L52" s="9">
        <f t="shared" si="0"/>
        <v>354.8</v>
      </c>
      <c r="M52" s="13">
        <f>313.3-0.8+0.1</f>
        <v>312.60000000000002</v>
      </c>
      <c r="N52" s="8">
        <f>169.4+0.2+0.4</f>
        <v>170</v>
      </c>
      <c r="O52" s="11"/>
      <c r="P52" s="11"/>
      <c r="Q52" s="11"/>
      <c r="R52" s="6"/>
      <c r="S52" s="6">
        <v>42.2</v>
      </c>
      <c r="T52" s="12">
        <f t="shared" si="1"/>
        <v>42.2</v>
      </c>
    </row>
    <row r="53" spans="1:20">
      <c r="A53" s="5">
        <v>43</v>
      </c>
      <c r="B53" s="6">
        <v>1988</v>
      </c>
      <c r="C53" s="7" t="s">
        <v>52</v>
      </c>
      <c r="D53" s="16">
        <v>213</v>
      </c>
      <c r="E53" s="8" t="s">
        <v>24</v>
      </c>
      <c r="F53" s="8" t="s">
        <v>25</v>
      </c>
      <c r="G53" s="8">
        <v>16</v>
      </c>
      <c r="H53" s="8">
        <v>1</v>
      </c>
      <c r="I53" s="8">
        <v>1</v>
      </c>
      <c r="J53" s="8">
        <v>2</v>
      </c>
      <c r="K53" s="8">
        <v>8</v>
      </c>
      <c r="L53" s="9">
        <f t="shared" si="0"/>
        <v>363.3</v>
      </c>
      <c r="M53" s="13">
        <v>322.7</v>
      </c>
      <c r="N53" s="8">
        <v>168.4</v>
      </c>
      <c r="O53" s="11"/>
      <c r="P53" s="11"/>
      <c r="Q53" s="11"/>
      <c r="R53" s="6"/>
      <c r="S53" s="6">
        <v>40.6</v>
      </c>
      <c r="T53" s="12">
        <f t="shared" si="1"/>
        <v>40.6</v>
      </c>
    </row>
    <row r="54" spans="1:20">
      <c r="A54" s="5">
        <v>44</v>
      </c>
      <c r="B54" s="6">
        <v>1989</v>
      </c>
      <c r="C54" s="7" t="s">
        <v>52</v>
      </c>
      <c r="D54" s="16">
        <v>214</v>
      </c>
      <c r="E54" s="8" t="s">
        <v>24</v>
      </c>
      <c r="F54" s="8" t="s">
        <v>28</v>
      </c>
      <c r="G54" s="8">
        <v>16</v>
      </c>
      <c r="H54" s="8">
        <v>1</v>
      </c>
      <c r="I54" s="8">
        <v>1</v>
      </c>
      <c r="J54" s="8">
        <v>2</v>
      </c>
      <c r="K54" s="8">
        <v>8</v>
      </c>
      <c r="L54" s="9">
        <f t="shared" si="0"/>
        <v>367.40000000000003</v>
      </c>
      <c r="M54" s="13">
        <f>327-1.4</f>
        <v>325.60000000000002</v>
      </c>
      <c r="N54" s="8">
        <f>162.7-0.3</f>
        <v>162.39999999999998</v>
      </c>
      <c r="O54" s="11"/>
      <c r="P54" s="11"/>
      <c r="Q54" s="11"/>
      <c r="R54" s="6"/>
      <c r="S54" s="6">
        <v>41.8</v>
      </c>
      <c r="T54" s="12">
        <f t="shared" si="1"/>
        <v>41.8</v>
      </c>
    </row>
    <row r="55" spans="1:20">
      <c r="A55" s="5">
        <v>45</v>
      </c>
      <c r="B55" s="6">
        <v>1989</v>
      </c>
      <c r="C55" s="7" t="s">
        <v>55</v>
      </c>
      <c r="D55" s="16">
        <v>4</v>
      </c>
      <c r="E55" s="8" t="s">
        <v>19</v>
      </c>
      <c r="F55" s="8" t="s">
        <v>25</v>
      </c>
      <c r="G55" s="8">
        <v>14</v>
      </c>
      <c r="H55" s="8">
        <v>2</v>
      </c>
      <c r="I55" s="8">
        <v>1</v>
      </c>
      <c r="J55" s="8">
        <v>3</v>
      </c>
      <c r="K55" s="8">
        <v>18</v>
      </c>
      <c r="L55" s="9">
        <f t="shared" si="0"/>
        <v>874.1</v>
      </c>
      <c r="M55" s="13">
        <f>794.8+0.1</f>
        <v>794.9</v>
      </c>
      <c r="N55" s="8">
        <v>499</v>
      </c>
      <c r="O55" s="11"/>
      <c r="P55" s="11"/>
      <c r="Q55" s="11"/>
      <c r="R55" s="6">
        <v>24</v>
      </c>
      <c r="S55" s="6">
        <v>55.2</v>
      </c>
      <c r="T55" s="12">
        <f t="shared" si="1"/>
        <v>79.2</v>
      </c>
    </row>
    <row r="56" spans="1:20">
      <c r="A56" s="5">
        <v>46</v>
      </c>
      <c r="B56" s="6">
        <v>2012</v>
      </c>
      <c r="C56" s="7" t="s">
        <v>35</v>
      </c>
      <c r="D56" s="16">
        <v>5</v>
      </c>
      <c r="E56" s="8" t="s">
        <v>19</v>
      </c>
      <c r="F56" s="8" t="s">
        <v>20</v>
      </c>
      <c r="G56" s="8">
        <v>5</v>
      </c>
      <c r="H56" s="8">
        <v>3</v>
      </c>
      <c r="I56" s="8">
        <v>1</v>
      </c>
      <c r="J56" s="8">
        <v>3</v>
      </c>
      <c r="K56" s="8">
        <v>33</v>
      </c>
      <c r="L56" s="9">
        <f t="shared" si="0"/>
        <v>1802.6</v>
      </c>
      <c r="M56" s="13">
        <v>1597.6</v>
      </c>
      <c r="N56" s="8">
        <v>858.2</v>
      </c>
      <c r="O56" s="11"/>
      <c r="P56" s="11"/>
      <c r="Q56" s="11"/>
      <c r="R56" s="6">
        <v>141.1</v>
      </c>
      <c r="S56" s="6">
        <v>63.9</v>
      </c>
      <c r="T56" s="12">
        <f t="shared" si="1"/>
        <v>205</v>
      </c>
    </row>
    <row r="57" spans="1:20">
      <c r="A57" s="5">
        <v>47</v>
      </c>
      <c r="B57" s="6">
        <v>2012</v>
      </c>
      <c r="C57" s="7" t="s">
        <v>35</v>
      </c>
      <c r="D57" s="16" t="s">
        <v>56</v>
      </c>
      <c r="E57" s="8" t="s">
        <v>19</v>
      </c>
      <c r="F57" s="8" t="s">
        <v>20</v>
      </c>
      <c r="G57" s="8">
        <v>5</v>
      </c>
      <c r="H57" s="8">
        <v>3</v>
      </c>
      <c r="I57" s="8">
        <v>1</v>
      </c>
      <c r="J57" s="8">
        <v>2</v>
      </c>
      <c r="K57" s="8">
        <v>24</v>
      </c>
      <c r="L57" s="9">
        <f t="shared" si="0"/>
        <v>1304.1000000000001</v>
      </c>
      <c r="M57" s="13">
        <v>1165.5</v>
      </c>
      <c r="N57" s="8">
        <v>648.1</v>
      </c>
      <c r="O57" s="11"/>
      <c r="P57" s="11"/>
      <c r="Q57" s="11"/>
      <c r="R57" s="6">
        <v>91.9</v>
      </c>
      <c r="S57" s="6">
        <v>46.7</v>
      </c>
      <c r="T57" s="12">
        <f t="shared" si="1"/>
        <v>138.60000000000002</v>
      </c>
    </row>
    <row r="58" spans="1:20">
      <c r="A58" s="5">
        <v>48</v>
      </c>
      <c r="B58" s="6">
        <v>2006</v>
      </c>
      <c r="C58" s="7" t="s">
        <v>35</v>
      </c>
      <c r="D58" s="16">
        <v>29</v>
      </c>
      <c r="E58" s="8" t="s">
        <v>19</v>
      </c>
      <c r="F58" s="8" t="s">
        <v>20</v>
      </c>
      <c r="G58" s="8">
        <v>5</v>
      </c>
      <c r="H58" s="8">
        <v>5</v>
      </c>
      <c r="I58" s="8">
        <v>1</v>
      </c>
      <c r="J58" s="8">
        <v>3</v>
      </c>
      <c r="K58" s="8">
        <v>60</v>
      </c>
      <c r="L58" s="9">
        <f t="shared" si="0"/>
        <v>2937</v>
      </c>
      <c r="M58" s="13">
        <v>2624.5</v>
      </c>
      <c r="N58" s="16">
        <v>1347.7</v>
      </c>
      <c r="O58" s="25"/>
      <c r="P58" s="25"/>
      <c r="Q58" s="25"/>
      <c r="R58" s="15">
        <v>300</v>
      </c>
      <c r="S58" s="15">
        <v>12.5</v>
      </c>
      <c r="T58" s="12">
        <f t="shared" si="1"/>
        <v>312.5</v>
      </c>
    </row>
    <row r="59" spans="1:20">
      <c r="A59" s="5">
        <v>49</v>
      </c>
      <c r="B59" s="6">
        <v>2006</v>
      </c>
      <c r="C59" s="7" t="s">
        <v>35</v>
      </c>
      <c r="D59" s="16">
        <v>56</v>
      </c>
      <c r="E59" s="8" t="s">
        <v>19</v>
      </c>
      <c r="F59" s="8" t="s">
        <v>20</v>
      </c>
      <c r="G59" s="8">
        <v>1</v>
      </c>
      <c r="H59" s="8">
        <v>9</v>
      </c>
      <c r="I59" s="8">
        <v>1</v>
      </c>
      <c r="J59" s="8">
        <v>2</v>
      </c>
      <c r="K59" s="8">
        <v>77</v>
      </c>
      <c r="L59" s="9">
        <f t="shared" si="0"/>
        <v>7053.3</v>
      </c>
      <c r="M59" s="13">
        <f>4741.8-2-7.2+2.9-1-1.9</f>
        <v>4732.6000000000004</v>
      </c>
      <c r="N59" s="16">
        <f>2442.6-0.3-5+3.6-3.2</f>
        <v>2437.6999999999998</v>
      </c>
      <c r="O59" s="25"/>
      <c r="P59" s="11"/>
      <c r="Q59" s="11">
        <v>1556.8</v>
      </c>
      <c r="R59" s="15">
        <v>271</v>
      </c>
      <c r="S59" s="6">
        <v>492.9</v>
      </c>
      <c r="T59" s="12">
        <f t="shared" si="1"/>
        <v>763.9</v>
      </c>
    </row>
    <row r="60" spans="1:20">
      <c r="A60" s="5">
        <v>50</v>
      </c>
      <c r="B60" s="6">
        <v>1985</v>
      </c>
      <c r="C60" s="7" t="s">
        <v>35</v>
      </c>
      <c r="D60" s="16" t="s">
        <v>57</v>
      </c>
      <c r="E60" s="8" t="s">
        <v>19</v>
      </c>
      <c r="F60" s="8" t="s">
        <v>25</v>
      </c>
      <c r="G60" s="8">
        <v>14</v>
      </c>
      <c r="H60" s="8">
        <v>2</v>
      </c>
      <c r="I60" s="8">
        <v>1</v>
      </c>
      <c r="J60" s="8">
        <v>2</v>
      </c>
      <c r="K60" s="8">
        <v>16</v>
      </c>
      <c r="L60" s="9">
        <f t="shared" si="0"/>
        <v>1064.9000000000001</v>
      </c>
      <c r="M60" s="13">
        <f>892.1-1.4-2.4-0.8-0.1</f>
        <v>887.40000000000009</v>
      </c>
      <c r="N60" s="16">
        <f>505-0.4-1.6-0.4</f>
        <v>502.6</v>
      </c>
      <c r="O60" s="11"/>
      <c r="P60" s="11"/>
      <c r="Q60" s="11"/>
      <c r="R60" s="15">
        <v>69.8</v>
      </c>
      <c r="S60" s="6">
        <v>107.7</v>
      </c>
      <c r="T60" s="12">
        <f t="shared" si="1"/>
        <v>177.5</v>
      </c>
    </row>
    <row r="61" spans="1:20">
      <c r="A61" s="5">
        <v>51</v>
      </c>
      <c r="B61" s="6">
        <v>1985</v>
      </c>
      <c r="C61" s="7" t="s">
        <v>22</v>
      </c>
      <c r="D61" s="16">
        <v>5</v>
      </c>
      <c r="E61" s="8" t="s">
        <v>24</v>
      </c>
      <c r="F61" s="8" t="s">
        <v>25</v>
      </c>
      <c r="G61" s="8" t="s">
        <v>33</v>
      </c>
      <c r="H61" s="8">
        <v>2</v>
      </c>
      <c r="I61" s="8">
        <v>1</v>
      </c>
      <c r="J61" s="8">
        <v>2</v>
      </c>
      <c r="K61" s="8">
        <v>16</v>
      </c>
      <c r="L61" s="9">
        <f t="shared" si="0"/>
        <v>1075</v>
      </c>
      <c r="M61" s="13">
        <f>902.2-1.3-0.3+0.3</f>
        <v>900.90000000000009</v>
      </c>
      <c r="N61" s="16">
        <f>486.8-0.8-0.3</f>
        <v>485.7</v>
      </c>
      <c r="O61" s="11"/>
      <c r="P61" s="11"/>
      <c r="Q61" s="11"/>
      <c r="R61" s="15">
        <v>69.5</v>
      </c>
      <c r="S61" s="15">
        <v>104.6</v>
      </c>
      <c r="T61" s="12">
        <f t="shared" si="1"/>
        <v>174.1</v>
      </c>
    </row>
    <row r="62" spans="1:20">
      <c r="A62" s="5">
        <v>52</v>
      </c>
      <c r="B62" s="6">
        <v>1984</v>
      </c>
      <c r="C62" s="7" t="s">
        <v>21</v>
      </c>
      <c r="D62" s="16">
        <v>31</v>
      </c>
      <c r="E62" s="8" t="s">
        <v>19</v>
      </c>
      <c r="F62" s="8" t="s">
        <v>20</v>
      </c>
      <c r="G62" s="8">
        <v>8</v>
      </c>
      <c r="H62" s="8">
        <v>5</v>
      </c>
      <c r="I62" s="8">
        <v>1</v>
      </c>
      <c r="J62" s="8">
        <v>2</v>
      </c>
      <c r="K62" s="8">
        <v>30</v>
      </c>
      <c r="L62" s="9">
        <f t="shared" si="0"/>
        <v>1639.3999999999999</v>
      </c>
      <c r="M62" s="13">
        <f>1477.9-1.4-0.4+0.5</f>
        <v>1476.6</v>
      </c>
      <c r="N62" s="16">
        <f>823.4+29-0.2+0.3</f>
        <v>852.49999999999989</v>
      </c>
      <c r="O62" s="11"/>
      <c r="P62" s="11"/>
      <c r="Q62" s="11"/>
      <c r="R62" s="6">
        <v>140.80000000000001</v>
      </c>
      <c r="S62" s="6">
        <v>22</v>
      </c>
      <c r="T62" s="12">
        <f t="shared" si="1"/>
        <v>162.80000000000001</v>
      </c>
    </row>
    <row r="63" spans="1:20">
      <c r="A63" s="5">
        <v>53</v>
      </c>
      <c r="B63" s="26">
        <v>2005</v>
      </c>
      <c r="C63" s="27" t="s">
        <v>58</v>
      </c>
      <c r="D63" s="16">
        <v>45</v>
      </c>
      <c r="E63" s="28" t="s">
        <v>19</v>
      </c>
      <c r="F63" s="28" t="s">
        <v>25</v>
      </c>
      <c r="G63" s="28">
        <v>14</v>
      </c>
      <c r="H63" s="28">
        <v>2</v>
      </c>
      <c r="I63" s="28">
        <v>1</v>
      </c>
      <c r="J63" s="28">
        <v>2</v>
      </c>
      <c r="K63" s="28">
        <v>16</v>
      </c>
      <c r="L63" s="9">
        <f t="shared" si="0"/>
        <v>903.7</v>
      </c>
      <c r="M63" s="13">
        <v>805.6</v>
      </c>
      <c r="N63" s="16">
        <v>432.1</v>
      </c>
      <c r="O63" s="29"/>
      <c r="P63" s="29"/>
      <c r="Q63" s="29"/>
      <c r="R63" s="26">
        <v>13.4</v>
      </c>
      <c r="S63" s="26">
        <v>84.7</v>
      </c>
      <c r="T63" s="12">
        <f t="shared" si="1"/>
        <v>98.100000000000009</v>
      </c>
    </row>
    <row r="64" spans="1:20">
      <c r="A64" s="5">
        <v>54</v>
      </c>
      <c r="B64" s="26">
        <v>2005</v>
      </c>
      <c r="C64" s="27" t="s">
        <v>58</v>
      </c>
      <c r="D64" s="16" t="s">
        <v>59</v>
      </c>
      <c r="E64" s="28" t="s">
        <v>19</v>
      </c>
      <c r="F64" s="28" t="s">
        <v>25</v>
      </c>
      <c r="G64" s="28">
        <v>14</v>
      </c>
      <c r="H64" s="28">
        <v>2</v>
      </c>
      <c r="I64" s="28">
        <v>1</v>
      </c>
      <c r="J64" s="28">
        <v>2</v>
      </c>
      <c r="K64" s="28">
        <v>16</v>
      </c>
      <c r="L64" s="9">
        <f t="shared" si="0"/>
        <v>901.69999999999993</v>
      </c>
      <c r="M64" s="13">
        <v>804.4</v>
      </c>
      <c r="N64" s="28">
        <v>431</v>
      </c>
      <c r="O64" s="29"/>
      <c r="P64" s="29"/>
      <c r="Q64" s="29"/>
      <c r="R64" s="26">
        <v>13.4</v>
      </c>
      <c r="S64" s="26">
        <v>83.9</v>
      </c>
      <c r="T64" s="12">
        <f t="shared" si="1"/>
        <v>97.300000000000011</v>
      </c>
    </row>
    <row r="65" spans="1:20">
      <c r="A65" s="5">
        <v>55</v>
      </c>
      <c r="B65" s="26">
        <v>1982</v>
      </c>
      <c r="C65" s="27" t="s">
        <v>60</v>
      </c>
      <c r="D65" s="16" t="s">
        <v>61</v>
      </c>
      <c r="E65" s="28" t="s">
        <v>24</v>
      </c>
      <c r="F65" s="28" t="s">
        <v>28</v>
      </c>
      <c r="G65" s="28">
        <v>16</v>
      </c>
      <c r="H65" s="28">
        <v>1</v>
      </c>
      <c r="I65" s="28">
        <v>1</v>
      </c>
      <c r="J65" s="28">
        <v>1</v>
      </c>
      <c r="K65" s="28">
        <v>5</v>
      </c>
      <c r="L65" s="9">
        <f t="shared" si="0"/>
        <v>321.20000000000005</v>
      </c>
      <c r="M65" s="13">
        <f>289.2+3.8-2-0.4</f>
        <v>290.60000000000002</v>
      </c>
      <c r="N65" s="16">
        <f>143.9+0+11.6+12</f>
        <v>167.5</v>
      </c>
      <c r="O65" s="29"/>
      <c r="P65" s="29"/>
      <c r="Q65" s="29"/>
      <c r="R65" s="15"/>
      <c r="S65" s="26">
        <v>30.6</v>
      </c>
      <c r="T65" s="12">
        <f t="shared" si="1"/>
        <v>30.6</v>
      </c>
    </row>
    <row r="66" spans="1:20">
      <c r="A66" s="5">
        <v>56</v>
      </c>
      <c r="B66" s="26">
        <v>2014</v>
      </c>
      <c r="C66" s="27" t="s">
        <v>22</v>
      </c>
      <c r="D66" s="16">
        <v>125</v>
      </c>
      <c r="E66" s="28" t="s">
        <v>19</v>
      </c>
      <c r="F66" s="28" t="s">
        <v>20</v>
      </c>
      <c r="G66" s="28">
        <v>4</v>
      </c>
      <c r="H66" s="28">
        <v>9</v>
      </c>
      <c r="I66" s="28">
        <v>1</v>
      </c>
      <c r="J66" s="28">
        <v>10</v>
      </c>
      <c r="K66" s="28">
        <v>404</v>
      </c>
      <c r="L66" s="9">
        <f t="shared" si="0"/>
        <v>25083.100000000002</v>
      </c>
      <c r="M66" s="13">
        <v>21291.7</v>
      </c>
      <c r="N66" s="28">
        <v>11516.1</v>
      </c>
      <c r="O66" s="29"/>
      <c r="P66" s="29"/>
      <c r="Q66" s="29"/>
      <c r="R66" s="26">
        <v>910.7</v>
      </c>
      <c r="S66" s="15">
        <v>2880.7</v>
      </c>
      <c r="T66" s="12">
        <f t="shared" si="1"/>
        <v>3791.3999999999996</v>
      </c>
    </row>
    <row r="67" spans="1:20">
      <c r="A67" s="5">
        <v>57</v>
      </c>
      <c r="B67" s="26">
        <v>2011</v>
      </c>
      <c r="C67" s="27" t="s">
        <v>62</v>
      </c>
      <c r="D67" s="64" t="s">
        <v>63</v>
      </c>
      <c r="E67" s="28" t="s">
        <v>19</v>
      </c>
      <c r="F67" s="28" t="s">
        <v>20</v>
      </c>
      <c r="G67" s="28">
        <v>20</v>
      </c>
      <c r="H67" s="28">
        <v>4</v>
      </c>
      <c r="I67" s="28">
        <v>1</v>
      </c>
      <c r="J67" s="28">
        <v>3</v>
      </c>
      <c r="K67" s="28">
        <v>45</v>
      </c>
      <c r="L67" s="9">
        <f t="shared" si="0"/>
        <v>3963.5000000000005</v>
      </c>
      <c r="M67" s="13">
        <v>2074.9</v>
      </c>
      <c r="N67" s="28">
        <v>1079.8</v>
      </c>
      <c r="O67" s="29"/>
      <c r="P67" s="29"/>
      <c r="Q67" s="29">
        <v>1563.7</v>
      </c>
      <c r="R67" s="26">
        <v>192.1</v>
      </c>
      <c r="S67" s="26">
        <v>132.80000000000001</v>
      </c>
      <c r="T67" s="12">
        <f t="shared" si="1"/>
        <v>324.89999999999998</v>
      </c>
    </row>
    <row r="68" spans="1:20">
      <c r="A68" s="5">
        <v>58</v>
      </c>
      <c r="B68" s="26">
        <v>2008</v>
      </c>
      <c r="C68" s="27" t="s">
        <v>47</v>
      </c>
      <c r="D68" s="16">
        <v>4</v>
      </c>
      <c r="E68" s="28" t="s">
        <v>19</v>
      </c>
      <c r="F68" s="28" t="s">
        <v>20</v>
      </c>
      <c r="G68" s="28">
        <v>20</v>
      </c>
      <c r="H68" s="28">
        <v>4</v>
      </c>
      <c r="I68" s="28">
        <v>1</v>
      </c>
      <c r="J68" s="28">
        <v>2</v>
      </c>
      <c r="K68" s="16">
        <v>28</v>
      </c>
      <c r="L68" s="9">
        <f t="shared" si="0"/>
        <v>1674.2</v>
      </c>
      <c r="M68" s="13">
        <f>1301.5-0.4+2</f>
        <v>1303.0999999999999</v>
      </c>
      <c r="N68" s="28">
        <f>850.7+1.5</f>
        <v>852.2</v>
      </c>
      <c r="O68" s="29"/>
      <c r="P68" s="29"/>
      <c r="Q68" s="29">
        <v>183.9</v>
      </c>
      <c r="R68" s="26">
        <v>138.4</v>
      </c>
      <c r="S68" s="26">
        <v>48.8</v>
      </c>
      <c r="T68" s="12">
        <f t="shared" si="1"/>
        <v>187.2</v>
      </c>
    </row>
    <row r="69" spans="1:20">
      <c r="A69" s="5">
        <v>59</v>
      </c>
      <c r="B69" s="26">
        <v>1982</v>
      </c>
      <c r="C69" s="30" t="s">
        <v>37</v>
      </c>
      <c r="D69" s="16" t="s">
        <v>64</v>
      </c>
      <c r="E69" s="28" t="s">
        <v>24</v>
      </c>
      <c r="F69" s="28" t="s">
        <v>28</v>
      </c>
      <c r="G69" s="28">
        <v>14</v>
      </c>
      <c r="H69" s="28">
        <v>2</v>
      </c>
      <c r="I69" s="28">
        <v>1</v>
      </c>
      <c r="J69" s="28">
        <v>1</v>
      </c>
      <c r="K69" s="28">
        <v>6</v>
      </c>
      <c r="L69" s="9">
        <f t="shared" si="0"/>
        <v>321.5</v>
      </c>
      <c r="M69" s="13">
        <v>289.2</v>
      </c>
      <c r="N69" s="28">
        <v>179.6</v>
      </c>
      <c r="O69" s="31"/>
      <c r="P69" s="29"/>
      <c r="Q69" s="29"/>
      <c r="R69" s="15">
        <v>29.1</v>
      </c>
      <c r="S69" s="15">
        <v>3.2</v>
      </c>
      <c r="T69" s="12">
        <f t="shared" si="1"/>
        <v>32.300000000000004</v>
      </c>
    </row>
    <row r="70" spans="1:20">
      <c r="A70" s="5">
        <v>60</v>
      </c>
      <c r="B70" s="26">
        <v>1985</v>
      </c>
      <c r="C70" s="30" t="s">
        <v>26</v>
      </c>
      <c r="D70" s="16" t="s">
        <v>65</v>
      </c>
      <c r="E70" s="8" t="s">
        <v>24</v>
      </c>
      <c r="F70" s="28" t="s">
        <v>25</v>
      </c>
      <c r="G70" s="28" t="s">
        <v>29</v>
      </c>
      <c r="H70" s="28">
        <v>2</v>
      </c>
      <c r="I70" s="28">
        <v>1</v>
      </c>
      <c r="J70" s="28">
        <v>3</v>
      </c>
      <c r="K70" s="28">
        <v>12</v>
      </c>
      <c r="L70" s="9">
        <f t="shared" si="0"/>
        <v>811.40000000000009</v>
      </c>
      <c r="M70" s="13">
        <v>723.6</v>
      </c>
      <c r="N70" s="28">
        <v>386</v>
      </c>
      <c r="O70" s="31"/>
      <c r="P70" s="29"/>
      <c r="Q70" s="29"/>
      <c r="R70" s="15">
        <v>84.2</v>
      </c>
      <c r="S70" s="15">
        <v>3.6</v>
      </c>
      <c r="T70" s="12">
        <f t="shared" si="1"/>
        <v>87.8</v>
      </c>
    </row>
    <row r="71" spans="1:20">
      <c r="A71" s="5">
        <v>61</v>
      </c>
      <c r="B71" s="26">
        <v>1985</v>
      </c>
      <c r="C71" s="30" t="s">
        <v>69</v>
      </c>
      <c r="D71" s="16">
        <v>76</v>
      </c>
      <c r="E71" s="8" t="s">
        <v>19</v>
      </c>
      <c r="F71" s="28" t="s">
        <v>20</v>
      </c>
      <c r="G71" s="28">
        <v>8</v>
      </c>
      <c r="H71" s="28">
        <v>5</v>
      </c>
      <c r="I71" s="28">
        <v>1</v>
      </c>
      <c r="J71" s="28">
        <v>2</v>
      </c>
      <c r="K71" s="28">
        <v>30</v>
      </c>
      <c r="L71" s="9">
        <f>M71+O71+Q71+R71+S71</f>
        <v>1646</v>
      </c>
      <c r="M71" s="13">
        <v>1435.7</v>
      </c>
      <c r="N71" s="28">
        <v>828.7</v>
      </c>
      <c r="O71" s="31"/>
      <c r="P71" s="29"/>
      <c r="Q71" s="29">
        <v>48.4</v>
      </c>
      <c r="R71" s="15">
        <v>139.6</v>
      </c>
      <c r="S71" s="15">
        <v>22.3</v>
      </c>
      <c r="T71" s="12">
        <f t="shared" si="1"/>
        <v>161.9</v>
      </c>
    </row>
    <row r="72" spans="1:20">
      <c r="A72" s="5">
        <v>62</v>
      </c>
      <c r="B72" s="26">
        <v>1984</v>
      </c>
      <c r="C72" s="30" t="s">
        <v>37</v>
      </c>
      <c r="D72" s="16">
        <v>22</v>
      </c>
      <c r="E72" s="8" t="s">
        <v>24</v>
      </c>
      <c r="F72" s="28" t="s">
        <v>28</v>
      </c>
      <c r="G72" s="28">
        <v>14</v>
      </c>
      <c r="H72" s="28">
        <v>2</v>
      </c>
      <c r="I72" s="28">
        <v>1</v>
      </c>
      <c r="J72" s="28">
        <v>2</v>
      </c>
      <c r="K72" s="28">
        <v>12</v>
      </c>
      <c r="L72" s="9">
        <f>SUM(M72+O72+Q72+R72+S72)</f>
        <v>639.20000000000005</v>
      </c>
      <c r="M72" s="13">
        <v>575.70000000000005</v>
      </c>
      <c r="N72" s="28">
        <v>358.5</v>
      </c>
      <c r="O72" s="31"/>
      <c r="P72" s="29"/>
      <c r="Q72" s="29"/>
      <c r="R72" s="15">
        <v>57.5</v>
      </c>
      <c r="S72" s="15">
        <v>6</v>
      </c>
      <c r="T72" s="12">
        <f t="shared" si="1"/>
        <v>63.5</v>
      </c>
    </row>
    <row r="73" spans="1:20">
      <c r="A73" s="5">
        <v>63</v>
      </c>
      <c r="B73" s="26">
        <v>2008</v>
      </c>
      <c r="C73" s="30" t="s">
        <v>55</v>
      </c>
      <c r="D73" s="16" t="s">
        <v>70</v>
      </c>
      <c r="E73" s="8" t="s">
        <v>19</v>
      </c>
      <c r="F73" s="28" t="s">
        <v>20</v>
      </c>
      <c r="G73" s="28">
        <v>12</v>
      </c>
      <c r="H73" s="28">
        <v>3</v>
      </c>
      <c r="I73" s="28">
        <v>1</v>
      </c>
      <c r="J73" s="28">
        <v>3</v>
      </c>
      <c r="K73" s="28">
        <v>36</v>
      </c>
      <c r="L73" s="9">
        <f>SUM(M73+O73+Q73+R73+S73)</f>
        <v>1749.8999999999999</v>
      </c>
      <c r="M73" s="13">
        <v>1504.1</v>
      </c>
      <c r="N73" s="28">
        <v>726</v>
      </c>
      <c r="O73" s="31"/>
      <c r="P73" s="29"/>
      <c r="Q73" s="29"/>
      <c r="R73" s="15">
        <v>187.5</v>
      </c>
      <c r="S73" s="15">
        <v>58.3</v>
      </c>
      <c r="T73" s="12">
        <f t="shared" si="1"/>
        <v>245.8</v>
      </c>
    </row>
    <row r="74" spans="1:20">
      <c r="A74" s="5">
        <v>64</v>
      </c>
      <c r="B74" s="26"/>
      <c r="C74" s="30" t="s">
        <v>43</v>
      </c>
      <c r="D74" s="16">
        <v>9</v>
      </c>
      <c r="E74" s="8" t="s">
        <v>24</v>
      </c>
      <c r="F74" s="28"/>
      <c r="G74" s="28"/>
      <c r="H74" s="28"/>
      <c r="I74" s="28"/>
      <c r="J74" s="28"/>
      <c r="K74" s="28"/>
      <c r="L74" s="9"/>
      <c r="M74" s="13"/>
      <c r="N74" s="28"/>
      <c r="O74" s="31"/>
      <c r="P74" s="29"/>
      <c r="Q74" s="29"/>
      <c r="R74" s="15">
        <v>0</v>
      </c>
      <c r="S74" s="15">
        <v>0</v>
      </c>
      <c r="T74" s="12">
        <f t="shared" si="1"/>
        <v>0</v>
      </c>
    </row>
    <row r="75" spans="1:20">
      <c r="A75" s="5">
        <v>65</v>
      </c>
      <c r="B75" s="26"/>
      <c r="C75" s="30" t="s">
        <v>37</v>
      </c>
      <c r="D75" s="16">
        <v>98</v>
      </c>
      <c r="E75" s="8" t="s">
        <v>19</v>
      </c>
      <c r="F75" s="28"/>
      <c r="G75" s="28"/>
      <c r="H75" s="28"/>
      <c r="I75" s="28"/>
      <c r="J75" s="28"/>
      <c r="K75" s="28"/>
      <c r="L75" s="9"/>
      <c r="M75" s="13"/>
      <c r="N75" s="28"/>
      <c r="O75" s="31"/>
      <c r="P75" s="29"/>
      <c r="Q75" s="29"/>
      <c r="R75" s="15">
        <v>312.60000000000002</v>
      </c>
      <c r="S75" s="15">
        <v>127.7</v>
      </c>
      <c r="T75" s="12">
        <f t="shared" si="1"/>
        <v>440.3</v>
      </c>
    </row>
    <row r="76" spans="1:20">
      <c r="A76" s="5">
        <v>66</v>
      </c>
      <c r="B76" s="26"/>
      <c r="C76" s="30" t="s">
        <v>37</v>
      </c>
      <c r="D76" s="16" t="s">
        <v>74</v>
      </c>
      <c r="E76" s="8" t="s">
        <v>24</v>
      </c>
      <c r="F76" s="28"/>
      <c r="G76" s="28"/>
      <c r="H76" s="28"/>
      <c r="I76" s="28"/>
      <c r="J76" s="28"/>
      <c r="K76" s="28"/>
      <c r="L76" s="9"/>
      <c r="M76" s="13"/>
      <c r="N76" s="28"/>
      <c r="O76" s="31"/>
      <c r="P76" s="29"/>
      <c r="Q76" s="29"/>
      <c r="R76" s="15">
        <v>87.2</v>
      </c>
      <c r="S76" s="15">
        <v>3.8</v>
      </c>
      <c r="T76" s="12">
        <f t="shared" si="1"/>
        <v>91</v>
      </c>
    </row>
    <row r="77" spans="1:20">
      <c r="A77" s="5">
        <v>67</v>
      </c>
      <c r="B77" s="26"/>
      <c r="C77" s="30" t="s">
        <v>37</v>
      </c>
      <c r="D77" s="16" t="s">
        <v>75</v>
      </c>
      <c r="E77" s="8" t="s">
        <v>24</v>
      </c>
      <c r="F77" s="28"/>
      <c r="G77" s="28"/>
      <c r="H77" s="28"/>
      <c r="I77" s="28"/>
      <c r="J77" s="28"/>
      <c r="K77" s="28"/>
      <c r="L77" s="9"/>
      <c r="M77" s="13"/>
      <c r="N77" s="28"/>
      <c r="O77" s="31"/>
      <c r="P77" s="29"/>
      <c r="Q77" s="29"/>
      <c r="R77" s="15">
        <v>84.6</v>
      </c>
      <c r="S77" s="15">
        <v>3.9</v>
      </c>
      <c r="T77" s="12">
        <f t="shared" ref="T77:T100" si="2">R77+S77</f>
        <v>88.5</v>
      </c>
    </row>
    <row r="78" spans="1:20">
      <c r="A78" s="5">
        <v>68</v>
      </c>
      <c r="B78" s="26"/>
      <c r="C78" s="30" t="s">
        <v>47</v>
      </c>
      <c r="D78" s="16" t="s">
        <v>76</v>
      </c>
      <c r="E78" s="8" t="s">
        <v>24</v>
      </c>
      <c r="F78" s="28"/>
      <c r="G78" s="28"/>
      <c r="H78" s="28"/>
      <c r="I78" s="28"/>
      <c r="J78" s="28"/>
      <c r="K78" s="28"/>
      <c r="L78" s="9"/>
      <c r="M78" s="13"/>
      <c r="N78" s="28"/>
      <c r="O78" s="31"/>
      <c r="P78" s="29"/>
      <c r="Q78" s="29"/>
      <c r="R78" s="15">
        <v>32.700000000000003</v>
      </c>
      <c r="S78" s="15">
        <v>59.2</v>
      </c>
      <c r="T78" s="12">
        <f t="shared" si="2"/>
        <v>91.9</v>
      </c>
    </row>
    <row r="79" spans="1:20">
      <c r="A79" s="5">
        <v>69</v>
      </c>
      <c r="B79" s="26"/>
      <c r="C79" s="30" t="s">
        <v>37</v>
      </c>
      <c r="D79" s="16">
        <v>13</v>
      </c>
      <c r="E79" s="8" t="s">
        <v>24</v>
      </c>
      <c r="F79" s="28"/>
      <c r="G79" s="28"/>
      <c r="H79" s="28"/>
      <c r="I79" s="28"/>
      <c r="J79" s="28"/>
      <c r="K79" s="28"/>
      <c r="L79" s="9"/>
      <c r="M79" s="13"/>
      <c r="N79" s="28"/>
      <c r="O79" s="31"/>
      <c r="P79" s="29"/>
      <c r="Q79" s="29"/>
      <c r="R79" s="15">
        <v>13.8</v>
      </c>
      <c r="S79" s="15">
        <v>66.5</v>
      </c>
      <c r="T79" s="12">
        <f t="shared" si="2"/>
        <v>80.3</v>
      </c>
    </row>
    <row r="80" spans="1:20">
      <c r="A80" s="5">
        <f>A79+1</f>
        <v>70</v>
      </c>
      <c r="B80" s="26"/>
      <c r="C80" s="30" t="s">
        <v>37</v>
      </c>
      <c r="D80" s="16" t="s">
        <v>77</v>
      </c>
      <c r="E80" s="8" t="s">
        <v>24</v>
      </c>
      <c r="F80" s="28"/>
      <c r="G80" s="28"/>
      <c r="H80" s="28"/>
      <c r="I80" s="28"/>
      <c r="J80" s="28"/>
      <c r="K80" s="28"/>
      <c r="L80" s="9"/>
      <c r="M80" s="13"/>
      <c r="N80" s="28"/>
      <c r="O80" s="31"/>
      <c r="P80" s="29"/>
      <c r="Q80" s="29"/>
      <c r="R80" s="15">
        <v>52.4</v>
      </c>
      <c r="S80" s="15">
        <v>40.4</v>
      </c>
      <c r="T80" s="12">
        <f t="shared" si="2"/>
        <v>92.8</v>
      </c>
    </row>
    <row r="81" spans="1:20">
      <c r="A81" s="5">
        <f t="shared" ref="A81:A100" si="3">A80+1</f>
        <v>71</v>
      </c>
      <c r="B81" s="26"/>
      <c r="C81" s="30" t="s">
        <v>37</v>
      </c>
      <c r="D81" s="16" t="s">
        <v>78</v>
      </c>
      <c r="E81" s="8" t="s">
        <v>24</v>
      </c>
      <c r="F81" s="28"/>
      <c r="G81" s="28"/>
      <c r="H81" s="28"/>
      <c r="I81" s="28"/>
      <c r="J81" s="28"/>
      <c r="K81" s="28"/>
      <c r="L81" s="9"/>
      <c r="M81" s="13"/>
      <c r="N81" s="28"/>
      <c r="O81" s="31"/>
      <c r="P81" s="29"/>
      <c r="Q81" s="29"/>
      <c r="R81" s="15">
        <v>78.7</v>
      </c>
      <c r="S81" s="15">
        <v>4.2</v>
      </c>
      <c r="T81" s="12">
        <f t="shared" si="2"/>
        <v>82.9</v>
      </c>
    </row>
    <row r="82" spans="1:20">
      <c r="A82" s="5">
        <f t="shared" si="3"/>
        <v>72</v>
      </c>
      <c r="B82" s="26"/>
      <c r="C82" s="30" t="s">
        <v>60</v>
      </c>
      <c r="D82" s="16">
        <v>3</v>
      </c>
      <c r="E82" s="8" t="s">
        <v>24</v>
      </c>
      <c r="F82" s="28"/>
      <c r="G82" s="28"/>
      <c r="H82" s="28"/>
      <c r="I82" s="28"/>
      <c r="J82" s="28"/>
      <c r="K82" s="28"/>
      <c r="L82" s="9"/>
      <c r="M82" s="13"/>
      <c r="N82" s="28"/>
      <c r="O82" s="31"/>
      <c r="P82" s="29"/>
      <c r="Q82" s="29"/>
      <c r="R82" s="15">
        <v>89.1</v>
      </c>
      <c r="S82" s="15">
        <v>4.2</v>
      </c>
      <c r="T82" s="12">
        <f t="shared" si="2"/>
        <v>93.3</v>
      </c>
    </row>
    <row r="83" spans="1:20">
      <c r="A83" s="5">
        <f t="shared" si="3"/>
        <v>73</v>
      </c>
      <c r="B83" s="26"/>
      <c r="C83" s="30" t="s">
        <v>60</v>
      </c>
      <c r="D83" s="16" t="s">
        <v>79</v>
      </c>
      <c r="E83" s="8" t="s">
        <v>24</v>
      </c>
      <c r="F83" s="28"/>
      <c r="G83" s="28"/>
      <c r="H83" s="28"/>
      <c r="I83" s="28"/>
      <c r="J83" s="28"/>
      <c r="K83" s="28"/>
      <c r="L83" s="9"/>
      <c r="M83" s="13"/>
      <c r="N83" s="28"/>
      <c r="O83" s="31"/>
      <c r="P83" s="29"/>
      <c r="Q83" s="29"/>
      <c r="R83" s="15">
        <v>68.099999999999994</v>
      </c>
      <c r="S83" s="15">
        <v>106.4</v>
      </c>
      <c r="T83" s="12">
        <f t="shared" si="2"/>
        <v>174.5</v>
      </c>
    </row>
    <row r="84" spans="1:20">
      <c r="A84" s="5">
        <f t="shared" si="3"/>
        <v>74</v>
      </c>
      <c r="B84" s="26"/>
      <c r="C84" s="30" t="s">
        <v>60</v>
      </c>
      <c r="D84" s="16">
        <v>15</v>
      </c>
      <c r="E84" s="8" t="s">
        <v>24</v>
      </c>
      <c r="F84" s="28"/>
      <c r="G84" s="28"/>
      <c r="H84" s="28"/>
      <c r="I84" s="28"/>
      <c r="J84" s="28"/>
      <c r="K84" s="28"/>
      <c r="L84" s="9"/>
      <c r="M84" s="13"/>
      <c r="N84" s="28"/>
      <c r="O84" s="31"/>
      <c r="P84" s="29"/>
      <c r="Q84" s="29"/>
      <c r="R84" s="15">
        <v>77.7</v>
      </c>
      <c r="S84" s="15">
        <v>3.6</v>
      </c>
      <c r="T84" s="12">
        <f t="shared" si="2"/>
        <v>81.3</v>
      </c>
    </row>
    <row r="85" spans="1:20">
      <c r="A85" s="5">
        <f t="shared" si="3"/>
        <v>75</v>
      </c>
      <c r="B85" s="26"/>
      <c r="C85" s="30" t="s">
        <v>35</v>
      </c>
      <c r="D85" s="16">
        <v>23</v>
      </c>
      <c r="E85" s="8" t="s">
        <v>24</v>
      </c>
      <c r="F85" s="28"/>
      <c r="G85" s="28"/>
      <c r="H85" s="28"/>
      <c r="I85" s="28"/>
      <c r="J85" s="28"/>
      <c r="K85" s="28"/>
      <c r="L85" s="9"/>
      <c r="M85" s="13"/>
      <c r="N85" s="28"/>
      <c r="O85" s="31"/>
      <c r="P85" s="29"/>
      <c r="Q85" s="29"/>
      <c r="R85" s="15">
        <v>87.6</v>
      </c>
      <c r="S85" s="15">
        <v>3.4</v>
      </c>
      <c r="T85" s="12">
        <f t="shared" si="2"/>
        <v>91</v>
      </c>
    </row>
    <row r="86" spans="1:20">
      <c r="A86" s="5">
        <f t="shared" si="3"/>
        <v>76</v>
      </c>
      <c r="B86" s="26"/>
      <c r="C86" s="30" t="s">
        <v>35</v>
      </c>
      <c r="D86" s="16">
        <v>21</v>
      </c>
      <c r="E86" s="8" t="s">
        <v>24</v>
      </c>
      <c r="F86" s="28"/>
      <c r="G86" s="28"/>
      <c r="H86" s="28"/>
      <c r="I86" s="28"/>
      <c r="J86" s="28"/>
      <c r="K86" s="28"/>
      <c r="L86" s="9"/>
      <c r="M86" s="13"/>
      <c r="N86" s="28"/>
      <c r="O86" s="31"/>
      <c r="P86" s="29"/>
      <c r="Q86" s="29"/>
      <c r="R86" s="15">
        <v>69.8</v>
      </c>
      <c r="S86" s="15">
        <v>102.73</v>
      </c>
      <c r="T86" s="12">
        <f t="shared" si="2"/>
        <v>172.53</v>
      </c>
    </row>
    <row r="87" spans="1:20">
      <c r="A87" s="5">
        <f t="shared" si="3"/>
        <v>77</v>
      </c>
      <c r="B87" s="26"/>
      <c r="C87" s="30" t="s">
        <v>22</v>
      </c>
      <c r="D87" s="16">
        <v>51</v>
      </c>
      <c r="E87" s="8" t="s">
        <v>24</v>
      </c>
      <c r="F87" s="28"/>
      <c r="G87" s="28"/>
      <c r="H87" s="28"/>
      <c r="I87" s="28"/>
      <c r="J87" s="28"/>
      <c r="K87" s="28"/>
      <c r="L87" s="9"/>
      <c r="M87" s="13"/>
      <c r="N87" s="28"/>
      <c r="O87" s="31"/>
      <c r="P87" s="29"/>
      <c r="Q87" s="29"/>
      <c r="R87" s="15">
        <v>70.2</v>
      </c>
      <c r="S87" s="15">
        <v>104.5</v>
      </c>
      <c r="T87" s="12">
        <f t="shared" si="2"/>
        <v>174.7</v>
      </c>
    </row>
    <row r="88" spans="1:20">
      <c r="A88" s="5">
        <f t="shared" si="3"/>
        <v>78</v>
      </c>
      <c r="B88" s="26"/>
      <c r="C88" s="30" t="s">
        <v>22</v>
      </c>
      <c r="D88" s="16">
        <v>59</v>
      </c>
      <c r="E88" s="8" t="s">
        <v>24</v>
      </c>
      <c r="F88" s="28"/>
      <c r="G88" s="28"/>
      <c r="H88" s="28"/>
      <c r="I88" s="28"/>
      <c r="J88" s="28"/>
      <c r="K88" s="28"/>
      <c r="L88" s="9"/>
      <c r="M88" s="13"/>
      <c r="N88" s="28"/>
      <c r="O88" s="31"/>
      <c r="P88" s="29"/>
      <c r="Q88" s="29"/>
      <c r="R88" s="15">
        <v>69.2</v>
      </c>
      <c r="S88" s="15">
        <v>106.6</v>
      </c>
      <c r="T88" s="12">
        <f t="shared" si="2"/>
        <v>175.8</v>
      </c>
    </row>
    <row r="89" spans="1:20">
      <c r="A89" s="5">
        <f t="shared" si="3"/>
        <v>79</v>
      </c>
      <c r="B89" s="26"/>
      <c r="C89" s="30" t="s">
        <v>22</v>
      </c>
      <c r="D89" s="16">
        <v>119</v>
      </c>
      <c r="E89" s="8" t="s">
        <v>19</v>
      </c>
      <c r="F89" s="28"/>
      <c r="G89" s="28"/>
      <c r="H89" s="28"/>
      <c r="I89" s="28"/>
      <c r="J89" s="28"/>
      <c r="K89" s="28"/>
      <c r="L89" s="9"/>
      <c r="M89" s="13"/>
      <c r="N89" s="28"/>
      <c r="O89" s="31"/>
      <c r="P89" s="29"/>
      <c r="Q89" s="29"/>
      <c r="R89" s="15">
        <v>908.3</v>
      </c>
      <c r="S89" s="15">
        <v>2863.9</v>
      </c>
      <c r="T89" s="12">
        <f t="shared" si="2"/>
        <v>3772.2</v>
      </c>
    </row>
    <row r="90" spans="1:20">
      <c r="A90" s="5">
        <f t="shared" si="3"/>
        <v>80</v>
      </c>
      <c r="B90" s="26"/>
      <c r="C90" s="30" t="s">
        <v>22</v>
      </c>
      <c r="D90" s="16">
        <v>43</v>
      </c>
      <c r="E90" s="8" t="s">
        <v>24</v>
      </c>
      <c r="F90" s="28"/>
      <c r="G90" s="28"/>
      <c r="H90" s="28"/>
      <c r="I90" s="28"/>
      <c r="J90" s="28"/>
      <c r="K90" s="28"/>
      <c r="L90" s="9"/>
      <c r="M90" s="13"/>
      <c r="N90" s="28"/>
      <c r="O90" s="31"/>
      <c r="P90" s="29"/>
      <c r="Q90" s="29"/>
      <c r="R90" s="15">
        <v>69.5</v>
      </c>
      <c r="S90" s="15">
        <v>113.9</v>
      </c>
      <c r="T90" s="12">
        <f t="shared" si="2"/>
        <v>183.4</v>
      </c>
    </row>
    <row r="91" spans="1:20">
      <c r="A91" s="5">
        <f t="shared" si="3"/>
        <v>81</v>
      </c>
      <c r="B91" s="26"/>
      <c r="C91" s="30" t="s">
        <v>22</v>
      </c>
      <c r="D91" s="16" t="s">
        <v>80</v>
      </c>
      <c r="E91" s="8" t="s">
        <v>24</v>
      </c>
      <c r="F91" s="28"/>
      <c r="G91" s="28"/>
      <c r="H91" s="28"/>
      <c r="I91" s="28"/>
      <c r="J91" s="28"/>
      <c r="K91" s="28"/>
      <c r="L91" s="9"/>
      <c r="M91" s="13"/>
      <c r="N91" s="28"/>
      <c r="O91" s="31"/>
      <c r="P91" s="29"/>
      <c r="Q91" s="29"/>
      <c r="R91" s="15">
        <v>33</v>
      </c>
      <c r="S91" s="15">
        <v>68.7</v>
      </c>
      <c r="T91" s="12">
        <f t="shared" si="2"/>
        <v>101.7</v>
      </c>
    </row>
    <row r="92" spans="1:20">
      <c r="A92" s="5">
        <f t="shared" si="3"/>
        <v>82</v>
      </c>
      <c r="B92" s="26"/>
      <c r="C92" s="30" t="s">
        <v>22</v>
      </c>
      <c r="D92" s="16" t="s">
        <v>81</v>
      </c>
      <c r="E92" s="8" t="s">
        <v>24</v>
      </c>
      <c r="F92" s="28"/>
      <c r="G92" s="28"/>
      <c r="H92" s="28"/>
      <c r="I92" s="28"/>
      <c r="J92" s="28"/>
      <c r="K92" s="28"/>
      <c r="L92" s="9"/>
      <c r="M92" s="13"/>
      <c r="N92" s="28"/>
      <c r="O92" s="31"/>
      <c r="P92" s="29"/>
      <c r="Q92" s="29"/>
      <c r="R92" s="15">
        <v>70.8</v>
      </c>
      <c r="S92" s="15">
        <v>106.3</v>
      </c>
      <c r="T92" s="12">
        <f t="shared" si="2"/>
        <v>177.1</v>
      </c>
    </row>
    <row r="93" spans="1:20">
      <c r="A93" s="5">
        <f t="shared" si="3"/>
        <v>83</v>
      </c>
      <c r="B93" s="26"/>
      <c r="C93" s="30" t="s">
        <v>60</v>
      </c>
      <c r="D93" s="16">
        <v>5</v>
      </c>
      <c r="E93" s="8" t="s">
        <v>24</v>
      </c>
      <c r="F93" s="28"/>
      <c r="G93" s="28"/>
      <c r="H93" s="28"/>
      <c r="I93" s="28"/>
      <c r="J93" s="28"/>
      <c r="K93" s="28"/>
      <c r="L93" s="9"/>
      <c r="M93" s="13"/>
      <c r="N93" s="28"/>
      <c r="O93" s="31"/>
      <c r="P93" s="29"/>
      <c r="Q93" s="29"/>
      <c r="R93" s="15">
        <v>80.099999999999994</v>
      </c>
      <c r="S93" s="15">
        <v>4</v>
      </c>
      <c r="T93" s="12">
        <f t="shared" si="2"/>
        <v>84.1</v>
      </c>
    </row>
    <row r="94" spans="1:20">
      <c r="A94" s="5">
        <f t="shared" si="3"/>
        <v>84</v>
      </c>
      <c r="B94" s="26"/>
      <c r="C94" s="30" t="s">
        <v>35</v>
      </c>
      <c r="D94" s="16">
        <v>19</v>
      </c>
      <c r="E94" s="8" t="s">
        <v>24</v>
      </c>
      <c r="F94" s="28"/>
      <c r="G94" s="28"/>
      <c r="H94" s="28"/>
      <c r="I94" s="28"/>
      <c r="J94" s="28"/>
      <c r="K94" s="28"/>
      <c r="L94" s="9"/>
      <c r="M94" s="13"/>
      <c r="N94" s="28"/>
      <c r="O94" s="31"/>
      <c r="P94" s="29"/>
      <c r="Q94" s="29"/>
      <c r="R94" s="15">
        <v>69.900000000000006</v>
      </c>
      <c r="S94" s="15">
        <v>102.7</v>
      </c>
      <c r="T94" s="12">
        <f t="shared" si="2"/>
        <v>172.60000000000002</v>
      </c>
    </row>
    <row r="95" spans="1:20">
      <c r="A95" s="5">
        <f t="shared" si="3"/>
        <v>85</v>
      </c>
      <c r="B95" s="26"/>
      <c r="C95" s="30" t="s">
        <v>22</v>
      </c>
      <c r="D95" s="16">
        <v>55</v>
      </c>
      <c r="E95" s="8" t="s">
        <v>24</v>
      </c>
      <c r="F95" s="28"/>
      <c r="G95" s="28"/>
      <c r="H95" s="28"/>
      <c r="I95" s="28"/>
      <c r="J95" s="28"/>
      <c r="K95" s="28"/>
      <c r="L95" s="9"/>
      <c r="M95" s="13"/>
      <c r="N95" s="28"/>
      <c r="O95" s="31"/>
      <c r="P95" s="29"/>
      <c r="Q95" s="29"/>
      <c r="R95" s="15">
        <v>70.3</v>
      </c>
      <c r="S95" s="15">
        <v>103.1</v>
      </c>
      <c r="T95" s="12">
        <f t="shared" si="2"/>
        <v>173.39999999999998</v>
      </c>
    </row>
    <row r="96" spans="1:20">
      <c r="A96" s="5">
        <f t="shared" si="3"/>
        <v>86</v>
      </c>
      <c r="B96" s="26"/>
      <c r="C96" s="30" t="s">
        <v>43</v>
      </c>
      <c r="D96" s="16">
        <v>4</v>
      </c>
      <c r="E96" s="8" t="s">
        <v>24</v>
      </c>
      <c r="F96" s="28"/>
      <c r="G96" s="28"/>
      <c r="H96" s="28"/>
      <c r="I96" s="28"/>
      <c r="J96" s="28"/>
      <c r="K96" s="28"/>
      <c r="L96" s="9"/>
      <c r="M96" s="13"/>
      <c r="N96" s="28"/>
      <c r="O96" s="31"/>
      <c r="P96" s="29"/>
      <c r="Q96" s="29"/>
      <c r="R96" s="15">
        <v>19.7</v>
      </c>
      <c r="S96" s="15">
        <v>99.1</v>
      </c>
      <c r="T96" s="12">
        <f t="shared" si="2"/>
        <v>118.8</v>
      </c>
    </row>
    <row r="97" spans="1:21">
      <c r="A97" s="5">
        <f t="shared" si="3"/>
        <v>87</v>
      </c>
      <c r="B97" s="26"/>
      <c r="C97" s="30" t="s">
        <v>84</v>
      </c>
      <c r="D97" s="16" t="s">
        <v>82</v>
      </c>
      <c r="E97" s="8" t="s">
        <v>24</v>
      </c>
      <c r="F97" s="28"/>
      <c r="G97" s="28"/>
      <c r="H97" s="28"/>
      <c r="I97" s="28"/>
      <c r="J97" s="28"/>
      <c r="K97" s="28"/>
      <c r="L97" s="9"/>
      <c r="M97" s="13"/>
      <c r="N97" s="28"/>
      <c r="O97" s="31"/>
      <c r="P97" s="29"/>
      <c r="Q97" s="29"/>
      <c r="R97" s="15">
        <v>39.6</v>
      </c>
      <c r="S97" s="15">
        <v>170.4</v>
      </c>
      <c r="T97" s="12">
        <f t="shared" si="2"/>
        <v>210</v>
      </c>
    </row>
    <row r="98" spans="1:21">
      <c r="A98" s="5">
        <f t="shared" si="3"/>
        <v>88</v>
      </c>
      <c r="B98" s="26"/>
      <c r="C98" s="30" t="s">
        <v>43</v>
      </c>
      <c r="D98" s="16">
        <v>8</v>
      </c>
      <c r="E98" s="8" t="s">
        <v>24</v>
      </c>
      <c r="F98" s="28"/>
      <c r="G98" s="28"/>
      <c r="H98" s="28"/>
      <c r="I98" s="28"/>
      <c r="J98" s="28"/>
      <c r="K98" s="28"/>
      <c r="L98" s="9"/>
      <c r="M98" s="13"/>
      <c r="N98" s="28"/>
      <c r="O98" s="31"/>
      <c r="P98" s="29"/>
      <c r="Q98" s="29"/>
      <c r="R98" s="15">
        <v>19.7</v>
      </c>
      <c r="S98" s="15">
        <v>101.7</v>
      </c>
      <c r="T98" s="12">
        <f t="shared" si="2"/>
        <v>121.4</v>
      </c>
    </row>
    <row r="99" spans="1:21">
      <c r="A99" s="5">
        <f t="shared" si="3"/>
        <v>89</v>
      </c>
      <c r="B99" s="26"/>
      <c r="C99" s="30" t="s">
        <v>45</v>
      </c>
      <c r="D99" s="66">
        <v>0.5</v>
      </c>
      <c r="E99" s="8" t="s">
        <v>24</v>
      </c>
      <c r="F99" s="28"/>
      <c r="G99" s="28"/>
      <c r="H99" s="28"/>
      <c r="I99" s="28"/>
      <c r="J99" s="28"/>
      <c r="K99" s="28"/>
      <c r="L99" s="9"/>
      <c r="M99" s="13"/>
      <c r="N99" s="28"/>
      <c r="O99" s="31"/>
      <c r="P99" s="29"/>
      <c r="Q99" s="29"/>
      <c r="R99" s="15">
        <v>33</v>
      </c>
      <c r="S99" s="15">
        <v>116.3</v>
      </c>
      <c r="T99" s="12">
        <f t="shared" si="2"/>
        <v>149.30000000000001</v>
      </c>
    </row>
    <row r="100" spans="1:21">
      <c r="A100" s="5">
        <f t="shared" si="3"/>
        <v>90</v>
      </c>
      <c r="B100" s="26"/>
      <c r="C100" s="30" t="s">
        <v>84</v>
      </c>
      <c r="D100" s="16" t="s">
        <v>83</v>
      </c>
      <c r="E100" s="8" t="s">
        <v>24</v>
      </c>
      <c r="F100" s="28"/>
      <c r="G100" s="28"/>
      <c r="H100" s="28"/>
      <c r="I100" s="28"/>
      <c r="J100" s="28"/>
      <c r="K100" s="28"/>
      <c r="L100" s="9"/>
      <c r="M100" s="13"/>
      <c r="N100" s="28"/>
      <c r="O100" s="31"/>
      <c r="P100" s="29"/>
      <c r="Q100" s="29"/>
      <c r="R100" s="15">
        <v>70.3</v>
      </c>
      <c r="S100" s="15">
        <v>107.6</v>
      </c>
      <c r="T100" s="12">
        <f t="shared" si="2"/>
        <v>177.89999999999998</v>
      </c>
    </row>
    <row r="101" spans="1:21" ht="30.75" customHeight="1">
      <c r="A101" s="32"/>
      <c r="B101" s="32"/>
      <c r="C101" s="50" t="s">
        <v>67</v>
      </c>
      <c r="D101" s="44"/>
      <c r="E101" s="33"/>
      <c r="F101" s="3"/>
      <c r="G101" s="34"/>
      <c r="H101" s="34"/>
      <c r="I101" s="34">
        <f t="shared" ref="I101:Q101" si="4">SUM(I11:I73)</f>
        <v>63</v>
      </c>
      <c r="J101" s="34">
        <f t="shared" si="4"/>
        <v>149</v>
      </c>
      <c r="K101" s="44">
        <f t="shared" si="4"/>
        <v>1542</v>
      </c>
      <c r="L101" s="35">
        <f>SUM(L11:L73)</f>
        <v>93281.15999999996</v>
      </c>
      <c r="M101" s="36">
        <f t="shared" si="4"/>
        <v>78160.899999999994</v>
      </c>
      <c r="N101" s="37">
        <f t="shared" si="4"/>
        <v>42532.7</v>
      </c>
      <c r="O101" s="34">
        <f t="shared" si="4"/>
        <v>0</v>
      </c>
      <c r="P101" s="34">
        <f t="shared" si="4"/>
        <v>0</v>
      </c>
      <c r="Q101" s="34">
        <f t="shared" si="4"/>
        <v>3352.8</v>
      </c>
      <c r="R101" s="37">
        <f>R11+R12+R13+R14+R15+R16+R17+R18+R19+R20+R21+R22+R23+R24+R25+R26+R27+R28+R29+R30+R31+R32+R33+R34+R35+R36+R37+R38+R39+R40+R41+R42+R43+R44+R45+R46+R47+R48+R49+R50+R51+R52+R53+R54+R55+R56+R57+R58+R59+R60+R61+R62+R63+R64+R65+R66+R67+R68+R69+R70+R71+R72+R73+R74+R75+R76+R77+R78+R79+R80+R81+R82+R83+R84+R85+R86+R87+R88+R89+R90+R91+R92+R93+R94+R95+R96+R97+R98+R99+R100</f>
        <v>8002.3000000000029</v>
      </c>
      <c r="S101" s="37">
        <f>S11+S12+S13+S14+S15+S16+S17+S18+S19+S20+S21+S22+S23+S24+S25+S26+S27+S28+S29+S30+S31+S32+S33+S34+S35+S36+S37+S38+S39+S40+S41+S42+S43+S44+S45+S46+S47+S48+S49+S50+S51+S52+S53+S54+S55+S56+S57+S58+S59+S60+S61+S62+S63+S64+S65+S66+S67+S68+S69+S70+S71+S72+S73+S74+S75+S76+S77+S78+S79+S80+S81+S82+S83+S84+S85+S86+S87+S88+S89+S90+S91+S92+S93+S94+S95+S96+S97+S98+S99+S100</f>
        <v>11137.89</v>
      </c>
      <c r="T101" s="37">
        <f>T11+T12+T13+T14+T15+T16+T17+T18+T19+T20+T21+T22+T23+T24+T25+T26+T27+T28+T29+T30+T31+T32+T33+T34+T35+T36+T37+T38+T39+T40+T41+T42+T43+T44+T45+T46+T47+T48+T49+T50+T51+T52+T53+T54+T55+T56+T57+T58+T59+T60+T61+T62+T63+T64+T65+T66+T67+T68+T69+T70+T71+T72+T73+T74+T75+T76+T77+T78+T79+T80+T81+T82+T83+T84+T85+T86+T87+T88+T89+T90+T91+T92+T93+T94+T95+T96+T97+T98+T99+T100</f>
        <v>19140.189999999999</v>
      </c>
      <c r="U101" s="60"/>
    </row>
    <row r="102" spans="1:21" ht="21.75" customHeight="1">
      <c r="A102" s="38"/>
      <c r="B102" s="38"/>
      <c r="C102" s="56"/>
      <c r="D102" s="57"/>
      <c r="E102" s="39"/>
      <c r="F102" s="55"/>
      <c r="G102" s="40"/>
      <c r="H102" s="40"/>
      <c r="I102" s="40"/>
      <c r="J102" s="40"/>
      <c r="K102" s="57"/>
      <c r="L102" s="58"/>
      <c r="M102" s="59"/>
      <c r="N102" s="41"/>
      <c r="O102" s="40"/>
      <c r="P102" s="40"/>
      <c r="Q102" s="40"/>
      <c r="R102" s="41"/>
      <c r="S102" s="41"/>
      <c r="T102" s="41"/>
    </row>
    <row r="103" spans="1:21">
      <c r="A103" s="82" t="s">
        <v>68</v>
      </c>
      <c r="B103" s="82"/>
      <c r="C103" s="82"/>
      <c r="D103" s="82"/>
      <c r="E103" s="82"/>
      <c r="F103" s="82"/>
    </row>
    <row r="104" spans="1:21">
      <c r="C104" s="78"/>
      <c r="D104" s="78"/>
      <c r="E104" s="78"/>
      <c r="F104" s="78"/>
      <c r="G104" s="78"/>
    </row>
    <row r="109" spans="1:21">
      <c r="M109" s="43"/>
    </row>
    <row r="111" spans="1:21">
      <c r="L111" s="43"/>
    </row>
    <row r="112" spans="1:21">
      <c r="L112" s="43"/>
    </row>
    <row r="113" spans="12:12">
      <c r="L113" s="43"/>
    </row>
    <row r="114" spans="12:12">
      <c r="L114" s="43"/>
    </row>
    <row r="117" spans="12:12">
      <c r="L117" s="43"/>
    </row>
    <row r="118" spans="12:12">
      <c r="L118" s="43"/>
    </row>
  </sheetData>
  <mergeCells count="22">
    <mergeCell ref="C104:G104"/>
    <mergeCell ref="H7:H9"/>
    <mergeCell ref="I7:I9"/>
    <mergeCell ref="J7:J9"/>
    <mergeCell ref="K7:K9"/>
    <mergeCell ref="A103:F103"/>
    <mergeCell ref="T7:T9"/>
    <mergeCell ref="A2:T2"/>
    <mergeCell ref="A3:T3"/>
    <mergeCell ref="A1:S1"/>
    <mergeCell ref="A7:A9"/>
    <mergeCell ref="B7:B9"/>
    <mergeCell ref="C7:C9"/>
    <mergeCell ref="D7:D9"/>
    <mergeCell ref="E7:E9"/>
    <mergeCell ref="F7:F9"/>
    <mergeCell ref="G7:G9"/>
    <mergeCell ref="L7:L9"/>
    <mergeCell ref="M8:N8"/>
    <mergeCell ref="O8:P8"/>
    <mergeCell ref="R7:R9"/>
    <mergeCell ref="S7:S9"/>
  </mergeCells>
  <printOptions horizontalCentered="1"/>
  <pageMargins left="0.31496062992125984" right="0.31496062992125984" top="0.35433070866141736" bottom="0.55118110236220474" header="0.31496062992125984" footer="0.31496062992125984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2016-03-01T10:22:44Z</dcterms:modified>
</cp:coreProperties>
</file>